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0730" windowHeight="11760" firstSheet="1" activeTab="1"/>
  </bookViews>
  <sheets>
    <sheet name="grupg" sheetId="1" state="hidden" r:id="rId1"/>
    <sheet name="FİKSTÜR" sheetId="2" r:id="rId2"/>
    <sheet name="FINAL" sheetId="4" state="hidden" r:id="rId3"/>
    <sheet name="FIXTUR" sheetId="5" state="hidden" r:id="rId4"/>
    <sheet name="GRUPB" sheetId="6" state="hidden" r:id="rId5"/>
    <sheet name="GRUPC" sheetId="7" state="hidden" r:id="rId6"/>
    <sheet name="GRUPD" sheetId="8" state="hidden" r:id="rId7"/>
    <sheet name="GRUPE" sheetId="9" state="hidden" r:id="rId8"/>
    <sheet name="GRUPF" sheetId="10" state="hidden" r:id="rId9"/>
    <sheet name="KURA" sheetId="11" state="hidden" r:id="rId10"/>
    <sheet name="SPONSOR" sheetId="12" state="hidden" r:id="rId11"/>
    <sheet name="KATILIM PAYI" sheetId="13" state="hidden" r:id="rId12"/>
    <sheet name="A" sheetId="14" state="hidden" r:id="rId13"/>
    <sheet name="B" sheetId="15" state="hidden" r:id="rId14"/>
    <sheet name="C" sheetId="16" state="hidden" r:id="rId15"/>
    <sheet name="D" sheetId="17" state="hidden" r:id="rId16"/>
    <sheet name="E" sheetId="18" state="hidden" r:id="rId17"/>
    <sheet name="F" sheetId="19" state="hidden" r:id="rId18"/>
  </sheets>
  <definedNames>
    <definedName name="GA">grupg!$G$2:$I$57</definedName>
    <definedName name="GA_1">#REF!</definedName>
    <definedName name="GAX">grupg!$AB$4:$BV$11</definedName>
    <definedName name="GAX_1">#REF!</definedName>
    <definedName name="GB">#REF!</definedName>
    <definedName name="GBX">#REF!</definedName>
    <definedName name="TEST">#REF!</definedName>
    <definedName name="_xlnm.Print_Area" localSheetId="3">FIXTUR!$A$1:$M$55</definedName>
    <definedName name="_xlnm.Print_Area" localSheetId="1">FİKSTÜR!$A$1:$BT$70</definedName>
    <definedName name="_xlnm.Print_Area" localSheetId="4">GRUPB!$A$1:$P$28</definedName>
    <definedName name="_xlnm.Print_Area" localSheetId="5">GRUPC!$A$1:$P$28</definedName>
    <definedName name="_xlnm.Print_Area" localSheetId="6">GRUPD!$A$1:$P$29</definedName>
    <definedName name="_xlnm.Print_Area" localSheetId="7">GRUPE!$A$1:$P$28</definedName>
    <definedName name="_xlnm.Print_Area" localSheetId="8">GRUPF!$A$1:$P$29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8" i="2" l="1"/>
  <c r="K68" i="2"/>
  <c r="W59" i="2"/>
  <c r="K59" i="2"/>
  <c r="W58" i="2"/>
  <c r="K58" i="2"/>
  <c r="W57" i="2"/>
  <c r="K57" i="2"/>
  <c r="W41" i="2"/>
  <c r="K41" i="2"/>
  <c r="W42" i="2"/>
  <c r="K42" i="2"/>
  <c r="W43" i="2"/>
  <c r="K43" i="2"/>
  <c r="W52" i="2"/>
  <c r="K52" i="2"/>
  <c r="N2" i="14"/>
  <c r="T2" i="14"/>
  <c r="A3" i="14"/>
  <c r="E3" i="14"/>
  <c r="G3" i="14"/>
  <c r="N3" i="14"/>
  <c r="W3" i="14"/>
  <c r="P3" i="14"/>
  <c r="A4" i="14"/>
  <c r="C4" i="14"/>
  <c r="E4" i="14"/>
  <c r="F4" i="14"/>
  <c r="N4" i="14"/>
  <c r="T4" i="14"/>
  <c r="A5" i="14"/>
  <c r="B5" i="14"/>
  <c r="E5" i="14"/>
  <c r="G5" i="14"/>
  <c r="N5" i="14"/>
  <c r="W5" i="14"/>
  <c r="A6" i="14"/>
  <c r="B6" i="14"/>
  <c r="E6" i="14"/>
  <c r="G6" i="14"/>
  <c r="A7" i="14"/>
  <c r="B7" i="14"/>
  <c r="E7" i="14"/>
  <c r="G7" i="14"/>
  <c r="A8" i="14"/>
  <c r="B8" i="14"/>
  <c r="E8" i="14"/>
  <c r="F8" i="14"/>
  <c r="A9" i="14"/>
  <c r="B9" i="14"/>
  <c r="E9" i="14"/>
  <c r="G9" i="14"/>
  <c r="A10" i="14"/>
  <c r="B10" i="14"/>
  <c r="E10" i="14"/>
  <c r="G10" i="14"/>
  <c r="A11" i="14"/>
  <c r="B11" i="14"/>
  <c r="E11" i="14"/>
  <c r="G11" i="14"/>
  <c r="A14" i="14"/>
  <c r="B14" i="14"/>
  <c r="E14" i="14"/>
  <c r="G14" i="14"/>
  <c r="A15" i="14"/>
  <c r="B15" i="14"/>
  <c r="E15" i="14"/>
  <c r="F15" i="14"/>
  <c r="A16" i="14"/>
  <c r="B16" i="14"/>
  <c r="E16" i="14"/>
  <c r="G16" i="14"/>
  <c r="A17" i="14"/>
  <c r="B17" i="14"/>
  <c r="E17" i="14"/>
  <c r="G17" i="14"/>
  <c r="A18" i="14"/>
  <c r="B18" i="14"/>
  <c r="E18" i="14"/>
  <c r="F18" i="14"/>
  <c r="A19" i="14"/>
  <c r="B19" i="14"/>
  <c r="E19" i="14"/>
  <c r="F19" i="14"/>
  <c r="A20" i="14"/>
  <c r="B20" i="14"/>
  <c r="E20" i="14"/>
  <c r="G20" i="14"/>
  <c r="A21" i="14"/>
  <c r="B21" i="14"/>
  <c r="E21" i="14"/>
  <c r="H21" i="14"/>
  <c r="A22" i="14"/>
  <c r="B22" i="14"/>
  <c r="E22" i="14"/>
  <c r="G22" i="14"/>
  <c r="A25" i="14"/>
  <c r="B25" i="14"/>
  <c r="E25" i="14"/>
  <c r="F25" i="14"/>
  <c r="A26" i="14"/>
  <c r="B26" i="14"/>
  <c r="E26" i="14"/>
  <c r="G26" i="14"/>
  <c r="A27" i="14"/>
  <c r="B27" i="14"/>
  <c r="E27" i="14"/>
  <c r="G27" i="14"/>
  <c r="A28" i="14"/>
  <c r="B28" i="14"/>
  <c r="E28" i="14"/>
  <c r="F28" i="14"/>
  <c r="A29" i="14"/>
  <c r="B29" i="14"/>
  <c r="E29" i="14"/>
  <c r="G29" i="14"/>
  <c r="A30" i="14"/>
  <c r="B30" i="14"/>
  <c r="E30" i="14"/>
  <c r="G30" i="14"/>
  <c r="A31" i="14"/>
  <c r="B31" i="14"/>
  <c r="E31" i="14"/>
  <c r="G31" i="14"/>
  <c r="A32" i="14"/>
  <c r="B32" i="14"/>
  <c r="E32" i="14"/>
  <c r="G32" i="14"/>
  <c r="A33" i="14"/>
  <c r="B33" i="14"/>
  <c r="E33" i="14"/>
  <c r="F33" i="14"/>
  <c r="A36" i="14"/>
  <c r="B36" i="14"/>
  <c r="E36" i="14"/>
  <c r="G36" i="14"/>
  <c r="A37" i="14"/>
  <c r="B37" i="14"/>
  <c r="E37" i="14"/>
  <c r="G37" i="14"/>
  <c r="A38" i="14"/>
  <c r="B38" i="14"/>
  <c r="E38" i="14"/>
  <c r="F38" i="14"/>
  <c r="A39" i="14"/>
  <c r="B39" i="14"/>
  <c r="E39" i="14"/>
  <c r="F39" i="14"/>
  <c r="A40" i="14"/>
  <c r="B40" i="14"/>
  <c r="E40" i="14"/>
  <c r="G40" i="14"/>
  <c r="A41" i="14"/>
  <c r="B41" i="14"/>
  <c r="E41" i="14"/>
  <c r="G41" i="14"/>
  <c r="A42" i="14"/>
  <c r="B42" i="14"/>
  <c r="E42" i="14"/>
  <c r="F42" i="14"/>
  <c r="A43" i="14"/>
  <c r="B43" i="14"/>
  <c r="E43" i="14"/>
  <c r="F43" i="14"/>
  <c r="A44" i="14"/>
  <c r="B44" i="14"/>
  <c r="E44" i="14"/>
  <c r="G44" i="14"/>
  <c r="N2" i="15"/>
  <c r="A3" i="15"/>
  <c r="C3" i="15"/>
  <c r="N3" i="15"/>
  <c r="A4" i="15"/>
  <c r="N4" i="15"/>
  <c r="A5" i="15"/>
  <c r="D5" i="15"/>
  <c r="N5" i="15"/>
  <c r="A6" i="15"/>
  <c r="C6" i="15"/>
  <c r="A7" i="15"/>
  <c r="B7" i="15"/>
  <c r="C7" i="15"/>
  <c r="A8" i="15"/>
  <c r="B8" i="15"/>
  <c r="E8" i="15"/>
  <c r="G8" i="15"/>
  <c r="A9" i="15"/>
  <c r="B9" i="15"/>
  <c r="A10" i="15"/>
  <c r="B10" i="15"/>
  <c r="A11" i="15"/>
  <c r="B11" i="15"/>
  <c r="A14" i="15"/>
  <c r="B14" i="15"/>
  <c r="A15" i="15"/>
  <c r="A16" i="15"/>
  <c r="B16" i="15"/>
  <c r="A17" i="15"/>
  <c r="A18" i="15"/>
  <c r="A19" i="15"/>
  <c r="A20" i="15"/>
  <c r="A21" i="15"/>
  <c r="A22" i="15"/>
  <c r="D22" i="15"/>
  <c r="A25" i="15"/>
  <c r="A26" i="15"/>
  <c r="A27" i="15"/>
  <c r="A28" i="15"/>
  <c r="E28" i="15"/>
  <c r="G28" i="15"/>
  <c r="A29" i="15"/>
  <c r="D29" i="15"/>
  <c r="E29" i="15"/>
  <c r="H29" i="15"/>
  <c r="A30" i="15"/>
  <c r="E30" i="15"/>
  <c r="G30" i="15"/>
  <c r="A31" i="15"/>
  <c r="C31" i="15"/>
  <c r="E31" i="15"/>
  <c r="G31" i="15"/>
  <c r="A32" i="15"/>
  <c r="B32" i="15"/>
  <c r="E32" i="15"/>
  <c r="G32" i="15"/>
  <c r="A33" i="15"/>
  <c r="B33" i="15"/>
  <c r="E33" i="15"/>
  <c r="A36" i="15"/>
  <c r="B36" i="15"/>
  <c r="E36" i="15"/>
  <c r="G36" i="15"/>
  <c r="F36" i="15"/>
  <c r="A37" i="15"/>
  <c r="C37" i="15"/>
  <c r="E37" i="15"/>
  <c r="A38" i="15"/>
  <c r="C38" i="15"/>
  <c r="E38" i="15"/>
  <c r="G38" i="15"/>
  <c r="A39" i="15"/>
  <c r="B39" i="15"/>
  <c r="E39" i="15"/>
  <c r="G39" i="15"/>
  <c r="A40" i="15"/>
  <c r="C40" i="15"/>
  <c r="E40" i="15"/>
  <c r="G40" i="15"/>
  <c r="A41" i="15"/>
  <c r="C41" i="15"/>
  <c r="E41" i="15"/>
  <c r="H41" i="15"/>
  <c r="A42" i="15"/>
  <c r="B42" i="15"/>
  <c r="E42" i="15"/>
  <c r="G42" i="15"/>
  <c r="A43" i="15"/>
  <c r="B43" i="15"/>
  <c r="E43" i="15"/>
  <c r="F43" i="15"/>
  <c r="A44" i="15"/>
  <c r="C44" i="15"/>
  <c r="E44" i="15"/>
  <c r="G44" i="15"/>
  <c r="N2" i="16"/>
  <c r="A3" i="16"/>
  <c r="B3" i="16"/>
  <c r="N3" i="16"/>
  <c r="A4" i="16"/>
  <c r="C4" i="16"/>
  <c r="N4" i="16"/>
  <c r="A5" i="16"/>
  <c r="C5" i="16"/>
  <c r="N5" i="16"/>
  <c r="A6" i="16"/>
  <c r="C6" i="16"/>
  <c r="A7" i="16"/>
  <c r="C7" i="16"/>
  <c r="A8" i="16"/>
  <c r="C8" i="16"/>
  <c r="A9" i="16"/>
  <c r="A10" i="16"/>
  <c r="C10" i="16"/>
  <c r="A11" i="16"/>
  <c r="C11" i="16"/>
  <c r="A14" i="16"/>
  <c r="B14" i="16"/>
  <c r="A15" i="16"/>
  <c r="A16" i="16"/>
  <c r="B16" i="16"/>
  <c r="A17" i="16"/>
  <c r="B17" i="16"/>
  <c r="A18" i="16"/>
  <c r="C18" i="16"/>
  <c r="A19" i="16"/>
  <c r="A20" i="16"/>
  <c r="C20" i="16"/>
  <c r="A21" i="16"/>
  <c r="C21" i="16"/>
  <c r="A22" i="16"/>
  <c r="B22" i="16"/>
  <c r="A25" i="16"/>
  <c r="A26" i="16"/>
  <c r="B26" i="16"/>
  <c r="A27" i="16"/>
  <c r="B27" i="16"/>
  <c r="A28" i="16"/>
  <c r="C28" i="16"/>
  <c r="E28" i="16"/>
  <c r="A29" i="16"/>
  <c r="C29" i="16"/>
  <c r="E29" i="16"/>
  <c r="F29" i="16"/>
  <c r="A30" i="16"/>
  <c r="B30" i="16"/>
  <c r="E30" i="16"/>
  <c r="A31" i="16"/>
  <c r="B31" i="16"/>
  <c r="E31" i="16"/>
  <c r="F31" i="16"/>
  <c r="G31" i="16"/>
  <c r="A32" i="16"/>
  <c r="C32" i="16"/>
  <c r="E32" i="16"/>
  <c r="H32" i="16"/>
  <c r="A33" i="16"/>
  <c r="B33" i="16"/>
  <c r="C33" i="16"/>
  <c r="E33" i="16"/>
  <c r="G33" i="16"/>
  <c r="A36" i="16"/>
  <c r="B36" i="16"/>
  <c r="E36" i="16"/>
  <c r="H36" i="16"/>
  <c r="A37" i="16"/>
  <c r="C37" i="16"/>
  <c r="E37" i="16"/>
  <c r="G37" i="16"/>
  <c r="A38" i="16"/>
  <c r="C38" i="16"/>
  <c r="E38" i="16"/>
  <c r="G38" i="16"/>
  <c r="A39" i="16"/>
  <c r="B39" i="16"/>
  <c r="E39" i="16"/>
  <c r="G39" i="16"/>
  <c r="A40" i="16"/>
  <c r="B40" i="16"/>
  <c r="E40" i="16"/>
  <c r="H40" i="16"/>
  <c r="A41" i="16"/>
  <c r="C41" i="16"/>
  <c r="E41" i="16"/>
  <c r="G41" i="16"/>
  <c r="A42" i="16"/>
  <c r="C42" i="16"/>
  <c r="E42" i="16"/>
  <c r="F42" i="16"/>
  <c r="A43" i="16"/>
  <c r="D43" i="16"/>
  <c r="E43" i="16"/>
  <c r="G43" i="16"/>
  <c r="A44" i="16"/>
  <c r="B44" i="16"/>
  <c r="C44" i="16"/>
  <c r="E44" i="16"/>
  <c r="A3" i="17"/>
  <c r="B3" i="17"/>
  <c r="C3" i="17"/>
  <c r="A4" i="17"/>
  <c r="B4" i="17"/>
  <c r="A5" i="17"/>
  <c r="C5" i="17"/>
  <c r="E5" i="17"/>
  <c r="H5" i="17"/>
  <c r="A6" i="17"/>
  <c r="B6" i="17"/>
  <c r="E6" i="17"/>
  <c r="G6" i="17"/>
  <c r="A7" i="17"/>
  <c r="B7" i="17"/>
  <c r="E7" i="17"/>
  <c r="F7" i="17"/>
  <c r="A8" i="17"/>
  <c r="C8" i="17"/>
  <c r="E8" i="17"/>
  <c r="G8" i="17"/>
  <c r="A9" i="17"/>
  <c r="C9" i="17"/>
  <c r="E9" i="17"/>
  <c r="H9" i="17"/>
  <c r="A10" i="17"/>
  <c r="C10" i="17"/>
  <c r="E10" i="17"/>
  <c r="H10" i="17"/>
  <c r="A11" i="17"/>
  <c r="B11" i="17"/>
  <c r="E11" i="17"/>
  <c r="A14" i="17"/>
  <c r="B14" i="17"/>
  <c r="A15" i="17"/>
  <c r="C15" i="17"/>
  <c r="A16" i="17"/>
  <c r="C16" i="17"/>
  <c r="E16" i="17"/>
  <c r="G16" i="17"/>
  <c r="A17" i="17"/>
  <c r="C17" i="17"/>
  <c r="E17" i="17"/>
  <c r="G17" i="17"/>
  <c r="A18" i="17"/>
  <c r="B18" i="17"/>
  <c r="E18" i="17"/>
  <c r="H18" i="17"/>
  <c r="A19" i="17"/>
  <c r="B19" i="17"/>
  <c r="E19" i="17"/>
  <c r="G19" i="17"/>
  <c r="A20" i="17"/>
  <c r="C20" i="17"/>
  <c r="E20" i="17"/>
  <c r="F20" i="17"/>
  <c r="A21" i="17"/>
  <c r="C21" i="17"/>
  <c r="E21" i="17"/>
  <c r="G21" i="17"/>
  <c r="A22" i="17"/>
  <c r="B22" i="17"/>
  <c r="E22" i="17"/>
  <c r="H22" i="17"/>
  <c r="A25" i="17"/>
  <c r="B25" i="17"/>
  <c r="A26" i="17"/>
  <c r="B26" i="17"/>
  <c r="A27" i="17"/>
  <c r="C27" i="17"/>
  <c r="E27" i="17"/>
  <c r="H27" i="17"/>
  <c r="A28" i="17"/>
  <c r="B28" i="17"/>
  <c r="E28" i="17"/>
  <c r="G28" i="17"/>
  <c r="A29" i="17"/>
  <c r="B29" i="17"/>
  <c r="E29" i="17"/>
  <c r="A30" i="17"/>
  <c r="B30" i="17"/>
  <c r="C30" i="17"/>
  <c r="E30" i="17"/>
  <c r="F30" i="17"/>
  <c r="G30" i="17"/>
  <c r="A31" i="17"/>
  <c r="C31" i="17"/>
  <c r="E31" i="17"/>
  <c r="H31" i="17"/>
  <c r="A32" i="17"/>
  <c r="C32" i="17"/>
  <c r="B32" i="17"/>
  <c r="E32" i="17"/>
  <c r="G32" i="17"/>
  <c r="A33" i="17"/>
  <c r="C33" i="17"/>
  <c r="E33" i="17"/>
  <c r="H33" i="17"/>
  <c r="A36" i="17"/>
  <c r="C36" i="17"/>
  <c r="E36" i="17"/>
  <c r="G36" i="17"/>
  <c r="A37" i="17"/>
  <c r="C37" i="17"/>
  <c r="E37" i="17"/>
  <c r="G37" i="17"/>
  <c r="A38" i="17"/>
  <c r="B38" i="17"/>
  <c r="C38" i="17"/>
  <c r="E38" i="17"/>
  <c r="G38" i="17"/>
  <c r="A39" i="17"/>
  <c r="B39" i="17"/>
  <c r="E39" i="17"/>
  <c r="H39" i="17"/>
  <c r="A40" i="17"/>
  <c r="C40" i="17"/>
  <c r="E40" i="17"/>
  <c r="G40" i="17"/>
  <c r="A41" i="17"/>
  <c r="C41" i="17"/>
  <c r="E41" i="17"/>
  <c r="F41" i="17"/>
  <c r="A42" i="17"/>
  <c r="B42" i="17"/>
  <c r="E42" i="17"/>
  <c r="G42" i="17"/>
  <c r="A43" i="17"/>
  <c r="B43" i="17"/>
  <c r="E43" i="17"/>
  <c r="H43" i="17"/>
  <c r="A44" i="17"/>
  <c r="C44" i="17"/>
  <c r="E44" i="17"/>
  <c r="G44" i="17"/>
  <c r="A3" i="18"/>
  <c r="C3" i="18"/>
  <c r="A4" i="18"/>
  <c r="C4" i="18"/>
  <c r="A5" i="18"/>
  <c r="C5" i="18"/>
  <c r="E5" i="18"/>
  <c r="G5" i="18"/>
  <c r="A6" i="18"/>
  <c r="C6" i="18"/>
  <c r="E6" i="18"/>
  <c r="G6" i="18"/>
  <c r="A7" i="18"/>
  <c r="C7" i="18"/>
  <c r="E7" i="18"/>
  <c r="G7" i="18"/>
  <c r="A8" i="18"/>
  <c r="C8" i="18"/>
  <c r="E8" i="18"/>
  <c r="G8" i="18"/>
  <c r="A9" i="18"/>
  <c r="C9" i="18"/>
  <c r="E9" i="18"/>
  <c r="G9" i="18"/>
  <c r="A10" i="18"/>
  <c r="C10" i="18"/>
  <c r="E10" i="18"/>
  <c r="G10" i="18"/>
  <c r="A11" i="18"/>
  <c r="C11" i="18"/>
  <c r="E11" i="18"/>
  <c r="G11" i="18"/>
  <c r="A14" i="18"/>
  <c r="C14" i="18"/>
  <c r="A15" i="18"/>
  <c r="C15" i="18"/>
  <c r="A16" i="18"/>
  <c r="C16" i="18"/>
  <c r="E16" i="18"/>
  <c r="G16" i="18"/>
  <c r="A17" i="18"/>
  <c r="C17" i="18"/>
  <c r="E17" i="18"/>
  <c r="G17" i="18"/>
  <c r="A18" i="18"/>
  <c r="C18" i="18"/>
  <c r="E18" i="18"/>
  <c r="G18" i="18"/>
  <c r="A19" i="18"/>
  <c r="C19" i="18"/>
  <c r="E19" i="18"/>
  <c r="G19" i="18"/>
  <c r="A20" i="18"/>
  <c r="C20" i="18"/>
  <c r="E20" i="18"/>
  <c r="G20" i="18"/>
  <c r="A21" i="18"/>
  <c r="C21" i="18"/>
  <c r="E21" i="18"/>
  <c r="G21" i="18"/>
  <c r="A22" i="18"/>
  <c r="C22" i="18"/>
  <c r="E22" i="18"/>
  <c r="G22" i="18"/>
  <c r="A25" i="18"/>
  <c r="C25" i="18"/>
  <c r="A26" i="18"/>
  <c r="C26" i="18"/>
  <c r="A27" i="18"/>
  <c r="D27" i="18"/>
  <c r="E27" i="18"/>
  <c r="G27" i="18"/>
  <c r="A28" i="18"/>
  <c r="E28" i="18"/>
  <c r="H28" i="18"/>
  <c r="A29" i="18"/>
  <c r="E29" i="18"/>
  <c r="H29" i="18"/>
  <c r="A30" i="18"/>
  <c r="B30" i="18"/>
  <c r="E30" i="18"/>
  <c r="H30" i="18"/>
  <c r="A31" i="18"/>
  <c r="E31" i="18"/>
  <c r="G31" i="18"/>
  <c r="A32" i="18"/>
  <c r="E32" i="18"/>
  <c r="G32" i="18"/>
  <c r="A33" i="18"/>
  <c r="B33" i="18"/>
  <c r="E33" i="18"/>
  <c r="H33" i="18"/>
  <c r="A36" i="18"/>
  <c r="E36" i="18"/>
  <c r="G36" i="18"/>
  <c r="A37" i="18"/>
  <c r="E37" i="18"/>
  <c r="G37" i="18"/>
  <c r="A38" i="18"/>
  <c r="B38" i="18"/>
  <c r="E38" i="18"/>
  <c r="G38" i="18"/>
  <c r="A39" i="18"/>
  <c r="E39" i="18"/>
  <c r="H39" i="18"/>
  <c r="A40" i="18"/>
  <c r="E40" i="18"/>
  <c r="G40" i="18"/>
  <c r="A41" i="18"/>
  <c r="B41" i="18"/>
  <c r="E41" i="18"/>
  <c r="G41" i="18"/>
  <c r="A42" i="18"/>
  <c r="E42" i="18"/>
  <c r="F42" i="18"/>
  <c r="A43" i="18"/>
  <c r="E43" i="18"/>
  <c r="H43" i="18"/>
  <c r="A44" i="18"/>
  <c r="B44" i="18"/>
  <c r="E44" i="18"/>
  <c r="F44" i="18"/>
  <c r="A3" i="19"/>
  <c r="A4" i="19"/>
  <c r="B4" i="19"/>
  <c r="A5" i="19"/>
  <c r="E5" i="19"/>
  <c r="G5" i="19"/>
  <c r="A6" i="19"/>
  <c r="B6" i="19"/>
  <c r="E6" i="19"/>
  <c r="H6" i="19"/>
  <c r="A7" i="19"/>
  <c r="E7" i="19"/>
  <c r="G7" i="19"/>
  <c r="A8" i="19"/>
  <c r="E8" i="19"/>
  <c r="G8" i="19"/>
  <c r="A9" i="19"/>
  <c r="B9" i="19"/>
  <c r="E9" i="19"/>
  <c r="G9" i="19"/>
  <c r="A10" i="19"/>
  <c r="D10" i="19"/>
  <c r="E10" i="19"/>
  <c r="H10" i="19"/>
  <c r="A11" i="19"/>
  <c r="B11" i="19"/>
  <c r="E11" i="19"/>
  <c r="G11" i="19"/>
  <c r="A14" i="19"/>
  <c r="B14" i="19"/>
  <c r="A15" i="19"/>
  <c r="A16" i="19"/>
  <c r="E16" i="19"/>
  <c r="H16" i="19"/>
  <c r="A17" i="19"/>
  <c r="E17" i="19"/>
  <c r="H17" i="19"/>
  <c r="A18" i="19"/>
  <c r="B18" i="19"/>
  <c r="E18" i="19"/>
  <c r="H18" i="19"/>
  <c r="A19" i="19"/>
  <c r="E19" i="19"/>
  <c r="G19" i="19"/>
  <c r="A20" i="19"/>
  <c r="B20" i="19"/>
  <c r="E20" i="19"/>
  <c r="G20" i="19"/>
  <c r="A21" i="19"/>
  <c r="B21" i="19"/>
  <c r="E21" i="19"/>
  <c r="H21" i="19"/>
  <c r="A22" i="19"/>
  <c r="E22" i="19"/>
  <c r="G22" i="19"/>
  <c r="A25" i="19"/>
  <c r="A26" i="19"/>
  <c r="A27" i="19"/>
  <c r="B27" i="19"/>
  <c r="E27" i="19"/>
  <c r="F27" i="19"/>
  <c r="A28" i="19"/>
  <c r="E28" i="19"/>
  <c r="H28" i="19"/>
  <c r="A29" i="19"/>
  <c r="B29" i="19"/>
  <c r="E29" i="19"/>
  <c r="F29" i="19"/>
  <c r="A30" i="19"/>
  <c r="B30" i="19"/>
  <c r="E30" i="19"/>
  <c r="G30" i="19"/>
  <c r="A31" i="19"/>
  <c r="E31" i="19"/>
  <c r="H31" i="19"/>
  <c r="A32" i="19"/>
  <c r="E32" i="19"/>
  <c r="H32" i="19"/>
  <c r="A33" i="19"/>
  <c r="B33" i="19"/>
  <c r="E33" i="19"/>
  <c r="H33" i="19"/>
  <c r="A36" i="19"/>
  <c r="E36" i="19"/>
  <c r="H36" i="19"/>
  <c r="A37" i="19"/>
  <c r="B37" i="19"/>
  <c r="E37" i="19"/>
  <c r="H37" i="19"/>
  <c r="A38" i="19"/>
  <c r="B38" i="19"/>
  <c r="E38" i="19"/>
  <c r="H38" i="19"/>
  <c r="A39" i="19"/>
  <c r="E39" i="19"/>
  <c r="H39" i="19"/>
  <c r="A40" i="19"/>
  <c r="E40" i="19"/>
  <c r="H40" i="19"/>
  <c r="A41" i="19"/>
  <c r="B41" i="19"/>
  <c r="E41" i="19"/>
  <c r="F41" i="19"/>
  <c r="A42" i="19"/>
  <c r="E42" i="19"/>
  <c r="H42" i="19"/>
  <c r="A43" i="19"/>
  <c r="E43" i="19"/>
  <c r="A44" i="19"/>
  <c r="B44" i="19"/>
  <c r="E44" i="19"/>
  <c r="H44" i="19"/>
  <c r="B9" i="4"/>
  <c r="E10" i="4"/>
  <c r="N11" i="4"/>
  <c r="K10" i="4"/>
  <c r="H15" i="4"/>
  <c r="A8" i="5"/>
  <c r="A12" i="5"/>
  <c r="A16" i="5"/>
  <c r="B8" i="5"/>
  <c r="C8" i="5"/>
  <c r="D8" i="5"/>
  <c r="E8" i="5"/>
  <c r="A13" i="5"/>
  <c r="A17" i="5"/>
  <c r="H8" i="5"/>
  <c r="H12" i="5"/>
  <c r="H16" i="5"/>
  <c r="I8" i="5"/>
  <c r="J8" i="5"/>
  <c r="K8" i="5"/>
  <c r="L8" i="5"/>
  <c r="H13" i="5"/>
  <c r="H17" i="5"/>
  <c r="A9" i="5"/>
  <c r="B9" i="5"/>
  <c r="C9" i="5"/>
  <c r="D9" i="5"/>
  <c r="E9" i="5"/>
  <c r="E13" i="5"/>
  <c r="E16" i="5"/>
  <c r="H9" i="5"/>
  <c r="I9" i="5"/>
  <c r="J9" i="5"/>
  <c r="K9" i="5"/>
  <c r="L9" i="5"/>
  <c r="L13" i="5"/>
  <c r="L16" i="5"/>
  <c r="B10" i="5"/>
  <c r="B12" i="5"/>
  <c r="C12" i="5"/>
  <c r="D12" i="5"/>
  <c r="E12" i="5"/>
  <c r="I12" i="5"/>
  <c r="J12" i="5"/>
  <c r="K12" i="5"/>
  <c r="L12" i="5"/>
  <c r="B13" i="5"/>
  <c r="C13" i="5"/>
  <c r="D13" i="5"/>
  <c r="I13" i="5"/>
  <c r="J13" i="5"/>
  <c r="K13" i="5"/>
  <c r="B16" i="5"/>
  <c r="C16" i="5"/>
  <c r="D16" i="5"/>
  <c r="I16" i="5"/>
  <c r="J16" i="5"/>
  <c r="K16" i="5"/>
  <c r="B17" i="5"/>
  <c r="C17" i="5"/>
  <c r="D17" i="5"/>
  <c r="E17" i="5"/>
  <c r="I17" i="5"/>
  <c r="J17" i="5"/>
  <c r="K17" i="5"/>
  <c r="L17" i="5"/>
  <c r="A22" i="5"/>
  <c r="A26" i="5"/>
  <c r="A30" i="5"/>
  <c r="B22" i="5"/>
  <c r="C22" i="5"/>
  <c r="D22" i="5"/>
  <c r="E22" i="5"/>
  <c r="A27" i="5"/>
  <c r="A31" i="5"/>
  <c r="H22" i="5"/>
  <c r="H26" i="5"/>
  <c r="H30" i="5"/>
  <c r="I22" i="5"/>
  <c r="J22" i="5"/>
  <c r="K22" i="5"/>
  <c r="L22" i="5"/>
  <c r="H27" i="5"/>
  <c r="H31" i="5"/>
  <c r="A23" i="5"/>
  <c r="B23" i="5"/>
  <c r="C23" i="5"/>
  <c r="D23" i="5"/>
  <c r="E23" i="5"/>
  <c r="E27" i="5"/>
  <c r="E30" i="5"/>
  <c r="H23" i="5"/>
  <c r="I23" i="5"/>
  <c r="J23" i="5"/>
  <c r="K23" i="5"/>
  <c r="L23" i="5"/>
  <c r="L27" i="5"/>
  <c r="L30" i="5"/>
  <c r="B26" i="5"/>
  <c r="C26" i="5"/>
  <c r="D26" i="5"/>
  <c r="E26" i="5"/>
  <c r="I26" i="5"/>
  <c r="J26" i="5"/>
  <c r="K26" i="5"/>
  <c r="L26" i="5"/>
  <c r="B27" i="5"/>
  <c r="C27" i="5"/>
  <c r="D27" i="5"/>
  <c r="I27" i="5"/>
  <c r="J27" i="5"/>
  <c r="K27" i="5"/>
  <c r="B30" i="5"/>
  <c r="C30" i="5"/>
  <c r="D30" i="5"/>
  <c r="I30" i="5"/>
  <c r="J30" i="5"/>
  <c r="K30" i="5"/>
  <c r="B31" i="5"/>
  <c r="C31" i="5"/>
  <c r="D31" i="5"/>
  <c r="E31" i="5"/>
  <c r="I31" i="5"/>
  <c r="J31" i="5"/>
  <c r="K31" i="5"/>
  <c r="L31" i="5"/>
  <c r="A36" i="5"/>
  <c r="A40" i="5"/>
  <c r="A44" i="5"/>
  <c r="B36" i="5"/>
  <c r="C36" i="5"/>
  <c r="D36" i="5"/>
  <c r="E36" i="5"/>
  <c r="A41" i="5"/>
  <c r="A45" i="5"/>
  <c r="H36" i="5"/>
  <c r="H40" i="5"/>
  <c r="H44" i="5"/>
  <c r="I36" i="5"/>
  <c r="J36" i="5"/>
  <c r="K36" i="5"/>
  <c r="L36" i="5"/>
  <c r="H41" i="5"/>
  <c r="H45" i="5"/>
  <c r="A37" i="5"/>
  <c r="B37" i="5"/>
  <c r="C37" i="5"/>
  <c r="D37" i="5"/>
  <c r="E37" i="5"/>
  <c r="E41" i="5"/>
  <c r="E44" i="5"/>
  <c r="H37" i="5"/>
  <c r="I37" i="5"/>
  <c r="J37" i="5"/>
  <c r="K37" i="5"/>
  <c r="L37" i="5"/>
  <c r="L41" i="5"/>
  <c r="L44" i="5"/>
  <c r="C40" i="5"/>
  <c r="D40" i="5"/>
  <c r="E40" i="5"/>
  <c r="I40" i="5"/>
  <c r="J40" i="5"/>
  <c r="K40" i="5"/>
  <c r="L40" i="5"/>
  <c r="B41" i="5"/>
  <c r="C41" i="5"/>
  <c r="D41" i="5"/>
  <c r="I41" i="5"/>
  <c r="J41" i="5"/>
  <c r="K41" i="5"/>
  <c r="B44" i="5"/>
  <c r="C44" i="5"/>
  <c r="D44" i="5"/>
  <c r="I44" i="5"/>
  <c r="J44" i="5"/>
  <c r="K44" i="5"/>
  <c r="B45" i="5"/>
  <c r="C45" i="5"/>
  <c r="D45" i="5"/>
  <c r="E45" i="5"/>
  <c r="I45" i="5"/>
  <c r="J45" i="5"/>
  <c r="K45" i="5"/>
  <c r="L45" i="5"/>
  <c r="X5" i="2"/>
  <c r="AA5" i="2"/>
  <c r="AB5" i="2"/>
  <c r="AC5" i="2"/>
  <c r="AD5" i="2"/>
  <c r="AJ5" i="2"/>
  <c r="X8" i="2"/>
  <c r="AC8" i="2"/>
  <c r="AD8" i="2"/>
  <c r="AI8" i="2"/>
  <c r="AG8" i="2"/>
  <c r="AJ8" i="2"/>
  <c r="X9" i="2"/>
  <c r="AE9" i="2"/>
  <c r="AF9" i="2"/>
  <c r="AJ9" i="2"/>
  <c r="AG9" i="2"/>
  <c r="AH9" i="2"/>
  <c r="X10" i="2"/>
  <c r="Y10" i="2"/>
  <c r="Z10" i="2"/>
  <c r="AG10" i="2"/>
  <c r="AA10" i="2"/>
  <c r="AB10" i="2"/>
  <c r="AI10" i="2"/>
  <c r="X23" i="2"/>
  <c r="AA23" i="2"/>
  <c r="AB23" i="2"/>
  <c r="AC23" i="2"/>
  <c r="AD23" i="2"/>
  <c r="AJ23" i="2"/>
  <c r="X24" i="2"/>
  <c r="AC24" i="2"/>
  <c r="AD24" i="2"/>
  <c r="AI24" i="2"/>
  <c r="AG24" i="2"/>
  <c r="AJ24" i="2"/>
  <c r="X26" i="2"/>
  <c r="AE26" i="2"/>
  <c r="AF26" i="2"/>
  <c r="AG26" i="2"/>
  <c r="AH26" i="2"/>
  <c r="A5" i="6"/>
  <c r="A16" i="6"/>
  <c r="E5" i="6"/>
  <c r="A17" i="6"/>
  <c r="A6" i="6"/>
  <c r="E6" i="6"/>
  <c r="A5" i="7"/>
  <c r="E5" i="7"/>
  <c r="A17" i="7"/>
  <c r="A6" i="7"/>
  <c r="E16" i="7"/>
  <c r="E28" i="7"/>
  <c r="E6" i="7"/>
  <c r="E17" i="7"/>
  <c r="E27" i="7"/>
  <c r="A6" i="8"/>
  <c r="A17" i="8"/>
  <c r="E6" i="8"/>
  <c r="A18" i="8"/>
  <c r="A7" i="8"/>
  <c r="E17" i="8"/>
  <c r="E29" i="8"/>
  <c r="E7" i="8"/>
  <c r="E18" i="8"/>
  <c r="A5" i="9"/>
  <c r="A16" i="9"/>
  <c r="E5" i="9"/>
  <c r="A28" i="9"/>
  <c r="A6" i="9"/>
  <c r="E16" i="9"/>
  <c r="E28" i="9"/>
  <c r="E6" i="9"/>
  <c r="E17" i="9"/>
  <c r="E27" i="9"/>
  <c r="A5" i="10"/>
  <c r="E5" i="10"/>
  <c r="A17" i="10"/>
  <c r="A6" i="10"/>
  <c r="E6" i="10"/>
  <c r="E17" i="10"/>
  <c r="C2" i="1"/>
  <c r="D2" i="1"/>
  <c r="E2" i="1"/>
  <c r="I2" i="1"/>
  <c r="F2" i="1"/>
  <c r="G2" i="1"/>
  <c r="H2" i="1"/>
  <c r="L2" i="1"/>
  <c r="C3" i="1"/>
  <c r="D3" i="1"/>
  <c r="H3" i="1"/>
  <c r="E3" i="1"/>
  <c r="F3" i="1"/>
  <c r="G3" i="1"/>
  <c r="G4" i="1"/>
  <c r="G5" i="1"/>
  <c r="G6" i="1"/>
  <c r="G7" i="1"/>
  <c r="I3" i="1"/>
  <c r="D4" i="1"/>
  <c r="H4" i="1"/>
  <c r="E4" i="1"/>
  <c r="I4" i="1"/>
  <c r="D5" i="1"/>
  <c r="H5" i="1"/>
  <c r="E5" i="1"/>
  <c r="I5" i="1"/>
  <c r="D6" i="1"/>
  <c r="H6" i="1"/>
  <c r="E6" i="1"/>
  <c r="I6" i="1"/>
  <c r="D7" i="1"/>
  <c r="H7" i="1"/>
  <c r="E7" i="1"/>
  <c r="I7" i="1"/>
  <c r="G8" i="1"/>
  <c r="D8" i="1"/>
  <c r="H8" i="1"/>
  <c r="E8" i="1"/>
  <c r="I8" i="1"/>
  <c r="G9" i="1"/>
  <c r="D9" i="1"/>
  <c r="H9" i="1"/>
  <c r="E9" i="1"/>
  <c r="I9" i="1"/>
  <c r="G10" i="1"/>
  <c r="D10" i="1"/>
  <c r="H10" i="1"/>
  <c r="E10" i="1"/>
  <c r="I10" i="1"/>
  <c r="G11" i="1"/>
  <c r="D11" i="1"/>
  <c r="H11" i="1"/>
  <c r="E11" i="1"/>
  <c r="I11" i="1"/>
  <c r="AL6" i="1"/>
  <c r="L3" i="1"/>
  <c r="C4" i="1"/>
  <c r="F4" i="1"/>
  <c r="L4" i="1"/>
  <c r="AC4" i="1"/>
  <c r="AY4" i="1"/>
  <c r="AY12" i="1"/>
  <c r="AZ4" i="1"/>
  <c r="BA4" i="1"/>
  <c r="BA12" i="1"/>
  <c r="BP4" i="1"/>
  <c r="C5" i="1"/>
  <c r="F5" i="1"/>
  <c r="L5" i="1"/>
  <c r="AC5" i="1"/>
  <c r="AT5" i="1"/>
  <c r="AT13" i="1"/>
  <c r="AY5" i="1"/>
  <c r="AY13" i="1"/>
  <c r="AZ5" i="1"/>
  <c r="AZ13" i="1"/>
  <c r="BA5" i="1"/>
  <c r="BA13" i="1"/>
  <c r="C6" i="1"/>
  <c r="F6" i="1"/>
  <c r="L6" i="1"/>
  <c r="AC6" i="1"/>
  <c r="AT6" i="1"/>
  <c r="AU6" i="1"/>
  <c r="AU14" i="1"/>
  <c r="AY6" i="1"/>
  <c r="AY14" i="1"/>
  <c r="AZ6" i="1"/>
  <c r="AZ14" i="1"/>
  <c r="BA6" i="1"/>
  <c r="C7" i="1"/>
  <c r="F7" i="1"/>
  <c r="AC7" i="1"/>
  <c r="AT7" i="1"/>
  <c r="AT15" i="1"/>
  <c r="AU7" i="1"/>
  <c r="AU15" i="1"/>
  <c r="AV7" i="1"/>
  <c r="AV15" i="1"/>
  <c r="AY7" i="1"/>
  <c r="AY15" i="1"/>
  <c r="AZ7" i="1"/>
  <c r="AZ15" i="1"/>
  <c r="BA7" i="1"/>
  <c r="BA15" i="1"/>
  <c r="C8" i="1"/>
  <c r="F8" i="1"/>
  <c r="AC8" i="1"/>
  <c r="AT8" i="1"/>
  <c r="AT16" i="1"/>
  <c r="AU8" i="1"/>
  <c r="AU16" i="1"/>
  <c r="AV8" i="1"/>
  <c r="AV16" i="1"/>
  <c r="AW8" i="1"/>
  <c r="AW16" i="1"/>
  <c r="AY8" i="1"/>
  <c r="AZ8" i="1"/>
  <c r="AZ16" i="1"/>
  <c r="BA8" i="1"/>
  <c r="BA16" i="1"/>
  <c r="C9" i="1"/>
  <c r="F9" i="1"/>
  <c r="C10" i="1"/>
  <c r="F10" i="1"/>
  <c r="C11" i="1"/>
  <c r="F11" i="1"/>
  <c r="AZ12" i="1"/>
  <c r="AT14" i="1"/>
  <c r="BA14" i="1"/>
  <c r="AY16" i="1"/>
  <c r="AT17" i="1"/>
  <c r="AU17" i="1"/>
  <c r="AV17" i="1"/>
  <c r="AW17" i="1"/>
  <c r="AX17" i="1"/>
  <c r="AZ17" i="1"/>
  <c r="BA17" i="1"/>
  <c r="AT18" i="1"/>
  <c r="AU18" i="1"/>
  <c r="AV18" i="1"/>
  <c r="AW18" i="1"/>
  <c r="AX18" i="1"/>
  <c r="AY18" i="1"/>
  <c r="BA18" i="1"/>
  <c r="AT19" i="1"/>
  <c r="AU19" i="1"/>
  <c r="AV19" i="1"/>
  <c r="AW19" i="1"/>
  <c r="AX19" i="1"/>
  <c r="AY19" i="1"/>
  <c r="AZ19" i="1"/>
  <c r="E34" i="13"/>
  <c r="E11" i="16"/>
  <c r="G11" i="16"/>
  <c r="D5" i="16"/>
  <c r="C14" i="15"/>
  <c r="C11" i="15"/>
  <c r="C10" i="15"/>
  <c r="D9" i="15"/>
  <c r="D8" i="15"/>
  <c r="D7" i="15"/>
  <c r="G43" i="14"/>
  <c r="C42" i="14"/>
  <c r="C40" i="14"/>
  <c r="G39" i="14"/>
  <c r="G38" i="14"/>
  <c r="C37" i="14"/>
  <c r="C36" i="14"/>
  <c r="G33" i="14"/>
  <c r="C32" i="14"/>
  <c r="C31" i="14"/>
  <c r="C30" i="14"/>
  <c r="G28" i="14"/>
  <c r="C28" i="14"/>
  <c r="C27" i="14"/>
  <c r="G25" i="14"/>
  <c r="C22" i="14"/>
  <c r="C20" i="14"/>
  <c r="G19" i="14"/>
  <c r="G18" i="14"/>
  <c r="C17" i="14"/>
  <c r="C16" i="14"/>
  <c r="G15" i="14"/>
  <c r="C14" i="14"/>
  <c r="C11" i="14"/>
  <c r="C10" i="14"/>
  <c r="G8" i="14"/>
  <c r="C8" i="14"/>
  <c r="C7" i="14"/>
  <c r="V3" i="14"/>
  <c r="T3" i="14"/>
  <c r="Q3" i="14"/>
  <c r="H3" i="14"/>
  <c r="D3" i="14"/>
  <c r="C27" i="18"/>
  <c r="B26" i="18"/>
  <c r="D26" i="18"/>
  <c r="B25" i="18"/>
  <c r="B22" i="18"/>
  <c r="D22" i="18"/>
  <c r="F21" i="18"/>
  <c r="D21" i="18"/>
  <c r="D20" i="18"/>
  <c r="B19" i="18"/>
  <c r="D19" i="18"/>
  <c r="D18" i="18"/>
  <c r="D17" i="18"/>
  <c r="F16" i="18"/>
  <c r="B16" i="18"/>
  <c r="D16" i="18"/>
  <c r="B15" i="18"/>
  <c r="D15" i="18"/>
  <c r="D14" i="18"/>
  <c r="B11" i="18"/>
  <c r="D11" i="18"/>
  <c r="B10" i="18"/>
  <c r="D10" i="18"/>
  <c r="F9" i="18"/>
  <c r="B8" i="18"/>
  <c r="D8" i="18"/>
  <c r="B7" i="18"/>
  <c r="D7" i="18"/>
  <c r="F5" i="18"/>
  <c r="B5" i="18"/>
  <c r="D5" i="18"/>
  <c r="B4" i="18"/>
  <c r="B3" i="18"/>
  <c r="D3" i="18"/>
  <c r="B30" i="15"/>
  <c r="D30" i="15"/>
  <c r="B29" i="15"/>
  <c r="F28" i="15"/>
  <c r="H28" i="15"/>
  <c r="B28" i="15"/>
  <c r="D28" i="15"/>
  <c r="B27" i="15"/>
  <c r="D27" i="15"/>
  <c r="B26" i="15"/>
  <c r="D26" i="15"/>
  <c r="B25" i="15"/>
  <c r="D25" i="15"/>
  <c r="B22" i="15"/>
  <c r="B21" i="15"/>
  <c r="D21" i="15"/>
  <c r="B20" i="15"/>
  <c r="D20" i="15"/>
  <c r="B19" i="15"/>
  <c r="D19" i="15"/>
  <c r="B18" i="15"/>
  <c r="D18" i="15"/>
  <c r="B17" i="15"/>
  <c r="D17" i="15"/>
  <c r="D44" i="17"/>
  <c r="D42" i="17"/>
  <c r="D40" i="17"/>
  <c r="D39" i="17"/>
  <c r="D38" i="17"/>
  <c r="D36" i="17"/>
  <c r="D33" i="17"/>
  <c r="D32" i="17"/>
  <c r="D31" i="17"/>
  <c r="H30" i="17"/>
  <c r="D30" i="17"/>
  <c r="D29" i="17"/>
  <c r="H28" i="17"/>
  <c r="D28" i="17"/>
  <c r="D27" i="17"/>
  <c r="D25" i="17"/>
  <c r="D22" i="17"/>
  <c r="D21" i="17"/>
  <c r="D19" i="17"/>
  <c r="D18" i="17"/>
  <c r="D17" i="17"/>
  <c r="D16" i="17"/>
  <c r="D14" i="17"/>
  <c r="D11" i="17"/>
  <c r="D10" i="17"/>
  <c r="D9" i="17"/>
  <c r="H8" i="17"/>
  <c r="D8" i="17"/>
  <c r="D7" i="17"/>
  <c r="D6" i="17"/>
  <c r="D4" i="17"/>
  <c r="D3" i="17"/>
  <c r="D44" i="16"/>
  <c r="D42" i="16"/>
  <c r="D41" i="16"/>
  <c r="D40" i="16"/>
  <c r="D39" i="16"/>
  <c r="D38" i="16"/>
  <c r="D37" i="16"/>
  <c r="D36" i="16"/>
  <c r="D33" i="16"/>
  <c r="D32" i="16"/>
  <c r="H31" i="16"/>
  <c r="D31" i="16"/>
  <c r="D30" i="16"/>
  <c r="H29" i="16"/>
  <c r="D29" i="16"/>
  <c r="D27" i="16"/>
  <c r="D26" i="16"/>
  <c r="D25" i="16"/>
  <c r="D22" i="16"/>
  <c r="D21" i="16"/>
  <c r="D19" i="16"/>
  <c r="D18" i="16"/>
  <c r="D17" i="16"/>
  <c r="D16" i="16"/>
  <c r="D11" i="16"/>
  <c r="D10" i="16"/>
  <c r="D9" i="16"/>
  <c r="D8" i="16"/>
  <c r="D6" i="16"/>
  <c r="D4" i="16"/>
  <c r="D44" i="15"/>
  <c r="D43" i="15"/>
  <c r="H42" i="15"/>
  <c r="D42" i="15"/>
  <c r="D41" i="15"/>
  <c r="D40" i="15"/>
  <c r="D39" i="15"/>
  <c r="H38" i="15"/>
  <c r="D38" i="15"/>
  <c r="D37" i="15"/>
  <c r="H36" i="15"/>
  <c r="D36" i="15"/>
  <c r="D33" i="15"/>
  <c r="H32" i="15"/>
  <c r="D32" i="15"/>
  <c r="D31" i="15"/>
  <c r="C30" i="15"/>
  <c r="G29" i="15"/>
  <c r="C28" i="15"/>
  <c r="C27" i="15"/>
  <c r="C26" i="15"/>
  <c r="C25" i="15"/>
  <c r="C21" i="15"/>
  <c r="C20" i="15"/>
  <c r="C19" i="15"/>
  <c r="C18" i="15"/>
  <c r="C17" i="15"/>
  <c r="D14" i="15"/>
  <c r="D11" i="15"/>
  <c r="D10" i="15"/>
  <c r="D4" i="15"/>
  <c r="H44" i="14"/>
  <c r="H43" i="14"/>
  <c r="D42" i="14"/>
  <c r="H40" i="14"/>
  <c r="H39" i="14"/>
  <c r="H38" i="14"/>
  <c r="D37" i="14"/>
  <c r="H36" i="14"/>
  <c r="H33" i="14"/>
  <c r="D32" i="14"/>
  <c r="D31" i="14"/>
  <c r="H28" i="14"/>
  <c r="D28" i="14"/>
  <c r="D27" i="14"/>
  <c r="H26" i="14"/>
  <c r="H25" i="14"/>
  <c r="D22" i="14"/>
  <c r="H20" i="14"/>
  <c r="H19" i="14"/>
  <c r="H18" i="14"/>
  <c r="D17" i="14"/>
  <c r="H16" i="14"/>
  <c r="H15" i="14"/>
  <c r="D14" i="14"/>
  <c r="D11" i="14"/>
  <c r="H8" i="14"/>
  <c r="D8" i="14"/>
  <c r="D7" i="14"/>
  <c r="H6" i="14"/>
  <c r="W4" i="14"/>
  <c r="S4" i="14"/>
  <c r="Q4" i="14"/>
  <c r="F44" i="19"/>
  <c r="F43" i="19"/>
  <c r="H43" i="19"/>
  <c r="B43" i="19"/>
  <c r="D43" i="19"/>
  <c r="F42" i="19"/>
  <c r="B42" i="19"/>
  <c r="D42" i="19"/>
  <c r="H41" i="19"/>
  <c r="D41" i="19"/>
  <c r="F40" i="19"/>
  <c r="B40" i="19"/>
  <c r="D40" i="19"/>
  <c r="B39" i="19"/>
  <c r="D39" i="19"/>
  <c r="F38" i="19"/>
  <c r="F37" i="19"/>
  <c r="D37" i="19"/>
  <c r="F36" i="19"/>
  <c r="G33" i="19"/>
  <c r="G32" i="19"/>
  <c r="G31" i="19"/>
  <c r="F30" i="19"/>
  <c r="H30" i="19"/>
  <c r="H29" i="19"/>
  <c r="G29" i="19"/>
  <c r="H27" i="19"/>
  <c r="G27" i="19"/>
  <c r="B26" i="19"/>
  <c r="D26" i="19"/>
  <c r="C26" i="19"/>
  <c r="G21" i="19"/>
  <c r="F20" i="19"/>
  <c r="H19" i="19"/>
  <c r="G18" i="19"/>
  <c r="G17" i="19"/>
  <c r="G16" i="19"/>
  <c r="B15" i="19"/>
  <c r="D15" i="19"/>
  <c r="C15" i="19"/>
  <c r="F11" i="19"/>
  <c r="H11" i="19"/>
  <c r="G10" i="19"/>
  <c r="F9" i="19"/>
  <c r="H9" i="19"/>
  <c r="F8" i="19"/>
  <c r="H8" i="19"/>
  <c r="G6" i="19"/>
  <c r="F5" i="19"/>
  <c r="D4" i="19"/>
  <c r="C4" i="19"/>
  <c r="H44" i="18"/>
  <c r="G44" i="18"/>
  <c r="G43" i="18"/>
  <c r="G42" i="18"/>
  <c r="F41" i="18"/>
  <c r="H41" i="18"/>
  <c r="F40" i="18"/>
  <c r="H40" i="18"/>
  <c r="F38" i="18"/>
  <c r="H38" i="18"/>
  <c r="F37" i="18"/>
  <c r="H37" i="18"/>
  <c r="G33" i="18"/>
  <c r="F32" i="18"/>
  <c r="F31" i="18"/>
  <c r="G30" i="18"/>
  <c r="G29" i="18"/>
  <c r="F27" i="18"/>
  <c r="H27" i="18"/>
  <c r="G41" i="17"/>
  <c r="H41" i="17"/>
  <c r="H37" i="17"/>
  <c r="G27" i="17"/>
  <c r="G20" i="17"/>
  <c r="H20" i="17"/>
  <c r="G42" i="16"/>
  <c r="H42" i="16"/>
  <c r="H38" i="16"/>
  <c r="F32" i="16"/>
  <c r="F28" i="16"/>
  <c r="G28" i="16"/>
  <c r="H28" i="16"/>
  <c r="B19" i="16"/>
  <c r="C19" i="16"/>
  <c r="B9" i="16"/>
  <c r="C9" i="16"/>
  <c r="C3" i="16"/>
  <c r="F41" i="15"/>
  <c r="G41" i="15"/>
  <c r="F37" i="15"/>
  <c r="G37" i="15"/>
  <c r="H37" i="15"/>
  <c r="F31" i="15"/>
  <c r="B15" i="15"/>
  <c r="C15" i="15"/>
  <c r="F5" i="14"/>
  <c r="B3" i="14"/>
  <c r="C3" i="14"/>
  <c r="E16" i="10"/>
  <c r="A16" i="10"/>
  <c r="A27" i="10"/>
  <c r="E3" i="17"/>
  <c r="H3" i="17"/>
  <c r="B36" i="19"/>
  <c r="D36" i="19"/>
  <c r="C36" i="19"/>
  <c r="C33" i="19"/>
  <c r="B32" i="19"/>
  <c r="D32" i="19"/>
  <c r="C32" i="19"/>
  <c r="B31" i="19"/>
  <c r="D31" i="19"/>
  <c r="C31" i="19"/>
  <c r="C30" i="19"/>
  <c r="D29" i="19"/>
  <c r="C29" i="19"/>
  <c r="B28" i="19"/>
  <c r="D28" i="19"/>
  <c r="C28" i="19"/>
  <c r="C27" i="19"/>
  <c r="B25" i="19"/>
  <c r="D25" i="19"/>
  <c r="C25" i="19"/>
  <c r="B22" i="19"/>
  <c r="D22" i="19"/>
  <c r="C22" i="19"/>
  <c r="C21" i="19"/>
  <c r="D20" i="19"/>
  <c r="C20" i="19"/>
  <c r="B19" i="19"/>
  <c r="D19" i="19"/>
  <c r="C19" i="19"/>
  <c r="C18" i="19"/>
  <c r="B17" i="19"/>
  <c r="D17" i="19"/>
  <c r="C17" i="19"/>
  <c r="B16" i="19"/>
  <c r="D16" i="19"/>
  <c r="C16" i="19"/>
  <c r="C14" i="19"/>
  <c r="D11" i="19"/>
  <c r="C11" i="19"/>
  <c r="B10" i="19"/>
  <c r="D9" i="19"/>
  <c r="B8" i="19"/>
  <c r="D8" i="19"/>
  <c r="C8" i="19"/>
  <c r="B7" i="19"/>
  <c r="D7" i="19"/>
  <c r="C7" i="19"/>
  <c r="D6" i="19"/>
  <c r="C6" i="19"/>
  <c r="B5" i="19"/>
  <c r="D5" i="19"/>
  <c r="C5" i="19"/>
  <c r="B3" i="19"/>
  <c r="D3" i="19"/>
  <c r="C3" i="19"/>
  <c r="D44" i="18"/>
  <c r="B43" i="18"/>
  <c r="D43" i="18"/>
  <c r="C43" i="18"/>
  <c r="B42" i="18"/>
  <c r="D42" i="18"/>
  <c r="C42" i="18"/>
  <c r="D41" i="18"/>
  <c r="C41" i="18"/>
  <c r="B40" i="18"/>
  <c r="D40" i="18"/>
  <c r="C40" i="18"/>
  <c r="B39" i="18"/>
  <c r="D39" i="18"/>
  <c r="C39" i="18"/>
  <c r="D38" i="18"/>
  <c r="B37" i="18"/>
  <c r="D37" i="18"/>
  <c r="C37" i="18"/>
  <c r="B36" i="18"/>
  <c r="D36" i="18"/>
  <c r="C36" i="18"/>
  <c r="D33" i="18"/>
  <c r="C33" i="18"/>
  <c r="B32" i="18"/>
  <c r="D32" i="18"/>
  <c r="C32" i="18"/>
  <c r="B31" i="18"/>
  <c r="D31" i="18"/>
  <c r="C31" i="18"/>
  <c r="D30" i="18"/>
  <c r="B29" i="18"/>
  <c r="D29" i="18"/>
  <c r="C29" i="18"/>
  <c r="B28" i="18"/>
  <c r="D28" i="18"/>
  <c r="C28" i="18"/>
  <c r="F43" i="17"/>
  <c r="G43" i="17"/>
  <c r="G33" i="17"/>
  <c r="F29" i="17"/>
  <c r="G29" i="17"/>
  <c r="H29" i="17"/>
  <c r="F22" i="17"/>
  <c r="G22" i="17"/>
  <c r="F11" i="17"/>
  <c r="G11" i="17"/>
  <c r="H11" i="17"/>
  <c r="F44" i="16"/>
  <c r="G44" i="16"/>
  <c r="H44" i="16"/>
  <c r="F36" i="16"/>
  <c r="G36" i="16"/>
  <c r="F30" i="16"/>
  <c r="G30" i="16"/>
  <c r="H30" i="16"/>
  <c r="B25" i="16"/>
  <c r="C25" i="16"/>
  <c r="B15" i="16"/>
  <c r="C15" i="16"/>
  <c r="D15" i="16"/>
  <c r="G43" i="15"/>
  <c r="H39" i="15"/>
  <c r="F33" i="15"/>
  <c r="G33" i="15"/>
  <c r="H33" i="15"/>
  <c r="B4" i="15"/>
  <c r="C4" i="15"/>
  <c r="O5" i="14"/>
  <c r="Q5" i="14"/>
  <c r="S5" i="14"/>
  <c r="V5" i="14"/>
  <c r="P5" i="14"/>
  <c r="T5" i="14"/>
  <c r="D5" i="14"/>
  <c r="D15" i="15"/>
  <c r="E3" i="18"/>
  <c r="H3" i="18"/>
  <c r="G44" i="19"/>
  <c r="G43" i="19"/>
  <c r="C43" i="19"/>
  <c r="C42" i="19"/>
  <c r="G41" i="19"/>
  <c r="G40" i="19"/>
  <c r="C40" i="19"/>
  <c r="C39" i="19"/>
  <c r="G38" i="19"/>
  <c r="G37" i="19"/>
  <c r="C37" i="19"/>
  <c r="O3" i="14"/>
  <c r="R3" i="14"/>
  <c r="S3" i="14"/>
  <c r="X3" i="14"/>
  <c r="E3" i="15"/>
  <c r="H3" i="15"/>
  <c r="H22" i="14"/>
  <c r="H42" i="14"/>
  <c r="H36" i="17"/>
  <c r="F6" i="18"/>
  <c r="G42" i="14"/>
  <c r="F38" i="17"/>
  <c r="F32" i="14"/>
  <c r="F22" i="14"/>
  <c r="F38" i="16"/>
  <c r="H16" i="17"/>
  <c r="F37" i="17"/>
  <c r="F28" i="18"/>
  <c r="F30" i="18"/>
  <c r="H32" i="18"/>
  <c r="H36" i="18"/>
  <c r="H5" i="19"/>
  <c r="H7" i="19"/>
  <c r="F16" i="19"/>
  <c r="F18" i="19"/>
  <c r="H20" i="19"/>
  <c r="H22" i="19"/>
  <c r="F33" i="19"/>
  <c r="F39" i="19"/>
  <c r="A17" i="9"/>
  <c r="E15" i="18"/>
  <c r="H10" i="14"/>
  <c r="H30" i="14"/>
  <c r="H37" i="16"/>
  <c r="H38" i="17"/>
  <c r="H44" i="17"/>
  <c r="F17" i="18"/>
  <c r="E27" i="15"/>
  <c r="F27" i="15"/>
  <c r="F44" i="17"/>
  <c r="F39" i="16"/>
  <c r="E17" i="16"/>
  <c r="F17" i="16"/>
  <c r="F42" i="15"/>
  <c r="F30" i="15"/>
  <c r="F29" i="14"/>
  <c r="F9" i="14"/>
  <c r="F14" i="14"/>
  <c r="G7" i="17"/>
  <c r="F18" i="17"/>
  <c r="F33" i="17"/>
  <c r="F5" i="17"/>
  <c r="S2" i="14"/>
  <c r="X2" i="14"/>
  <c r="H9" i="14"/>
  <c r="H14" i="14"/>
  <c r="D18" i="14"/>
  <c r="D21" i="14"/>
  <c r="H29" i="14"/>
  <c r="H32" i="14"/>
  <c r="D38" i="14"/>
  <c r="D41" i="14"/>
  <c r="H30" i="15"/>
  <c r="H39" i="16"/>
  <c r="F20" i="18"/>
  <c r="C6" i="14"/>
  <c r="C18" i="14"/>
  <c r="C21" i="14"/>
  <c r="C26" i="14"/>
  <c r="C38" i="14"/>
  <c r="C41" i="14"/>
  <c r="C44" i="14"/>
  <c r="E19" i="15"/>
  <c r="F8" i="17"/>
  <c r="E11" i="15"/>
  <c r="F11" i="15"/>
  <c r="C5" i="14"/>
  <c r="E28" i="10"/>
  <c r="G5" i="17"/>
  <c r="Q2" i="14"/>
  <c r="D6" i="14"/>
  <c r="D16" i="14"/>
  <c r="D26" i="14"/>
  <c r="D40" i="14"/>
  <c r="D44" i="14"/>
  <c r="H44" i="15"/>
  <c r="H6" i="17"/>
  <c r="H17" i="17"/>
  <c r="G21" i="14"/>
  <c r="F40" i="17"/>
  <c r="F32" i="17"/>
  <c r="F6" i="17"/>
  <c r="F41" i="16"/>
  <c r="B7" i="16"/>
  <c r="F44" i="15"/>
  <c r="F32" i="15"/>
  <c r="F41" i="14"/>
  <c r="F37" i="14"/>
  <c r="F31" i="14"/>
  <c r="F27" i="14"/>
  <c r="F21" i="14"/>
  <c r="F17" i="14"/>
  <c r="F11" i="14"/>
  <c r="F7" i="14"/>
  <c r="G4" i="14"/>
  <c r="F39" i="15"/>
  <c r="G40" i="16"/>
  <c r="G39" i="17"/>
  <c r="C10" i="19"/>
  <c r="H5" i="14"/>
  <c r="H31" i="15"/>
  <c r="G32" i="16"/>
  <c r="F16" i="17"/>
  <c r="G31" i="17"/>
  <c r="F29" i="18"/>
  <c r="F33" i="18"/>
  <c r="F39" i="18"/>
  <c r="F43" i="18"/>
  <c r="F6" i="19"/>
  <c r="F10" i="19"/>
  <c r="F17" i="19"/>
  <c r="F21" i="19"/>
  <c r="F28" i="19"/>
  <c r="F32" i="19"/>
  <c r="D4" i="14"/>
  <c r="H7" i="14"/>
  <c r="H11" i="14"/>
  <c r="H17" i="14"/>
  <c r="H27" i="14"/>
  <c r="H31" i="14"/>
  <c r="H37" i="14"/>
  <c r="H41" i="14"/>
  <c r="E6" i="15"/>
  <c r="F6" i="15"/>
  <c r="D7" i="16"/>
  <c r="H41" i="16"/>
  <c r="H19" i="17"/>
  <c r="H40" i="17"/>
  <c r="F29" i="15"/>
  <c r="F7" i="18"/>
  <c r="F10" i="18"/>
  <c r="F18" i="18"/>
  <c r="F22" i="18"/>
  <c r="V2" i="14"/>
  <c r="C9" i="14"/>
  <c r="C15" i="14"/>
  <c r="C19" i="14"/>
  <c r="C25" i="14"/>
  <c r="C29" i="14"/>
  <c r="C33" i="14"/>
  <c r="C39" i="14"/>
  <c r="C43" i="14"/>
  <c r="E5" i="15"/>
  <c r="G5" i="15"/>
  <c r="E21" i="15"/>
  <c r="G21" i="15"/>
  <c r="E7" i="16"/>
  <c r="H7" i="16"/>
  <c r="E21" i="16"/>
  <c r="H21" i="16"/>
  <c r="E4" i="16"/>
  <c r="H4" i="16"/>
  <c r="F36" i="17"/>
  <c r="F28" i="17"/>
  <c r="F19" i="17"/>
  <c r="G10" i="17"/>
  <c r="F43" i="16"/>
  <c r="F33" i="16"/>
  <c r="E27" i="16"/>
  <c r="H27" i="16"/>
  <c r="F40" i="15"/>
  <c r="F44" i="14"/>
  <c r="F40" i="14"/>
  <c r="F36" i="14"/>
  <c r="F30" i="14"/>
  <c r="F26" i="14"/>
  <c r="F20" i="14"/>
  <c r="F16" i="14"/>
  <c r="F10" i="14"/>
  <c r="F6" i="14"/>
  <c r="B4" i="14"/>
  <c r="H43" i="15"/>
  <c r="F39" i="17"/>
  <c r="F9" i="17"/>
  <c r="F31" i="17"/>
  <c r="H4" i="14"/>
  <c r="D10" i="14"/>
  <c r="D20" i="14"/>
  <c r="D30" i="14"/>
  <c r="D36" i="14"/>
  <c r="E18" i="15"/>
  <c r="F18" i="15"/>
  <c r="E22" i="15"/>
  <c r="G22" i="15"/>
  <c r="E9" i="16"/>
  <c r="F9" i="16"/>
  <c r="F17" i="17"/>
  <c r="F10" i="17"/>
  <c r="F11" i="16"/>
  <c r="W2" i="14"/>
  <c r="D9" i="14"/>
  <c r="D15" i="14"/>
  <c r="D19" i="14"/>
  <c r="D25" i="14"/>
  <c r="D29" i="14"/>
  <c r="D33" i="14"/>
  <c r="D39" i="14"/>
  <c r="D43" i="14"/>
  <c r="H40" i="15"/>
  <c r="H33" i="16"/>
  <c r="H43" i="16"/>
  <c r="H32" i="17"/>
  <c r="F8" i="18"/>
  <c r="F11" i="18"/>
  <c r="P2" i="14"/>
  <c r="U2" i="14"/>
  <c r="U3" i="14"/>
  <c r="H8" i="15"/>
  <c r="E20" i="15"/>
  <c r="F20" i="15"/>
  <c r="F42" i="17"/>
  <c r="F37" i="16"/>
  <c r="E17" i="15"/>
  <c r="H17" i="15"/>
  <c r="D6" i="15"/>
  <c r="E10" i="16"/>
  <c r="H10" i="16"/>
  <c r="E18" i="16"/>
  <c r="F18" i="16"/>
  <c r="E22" i="16"/>
  <c r="F22" i="16"/>
  <c r="E16" i="6"/>
  <c r="E28" i="6"/>
  <c r="E6" i="16"/>
  <c r="H6" i="16"/>
  <c r="B6" i="15"/>
  <c r="O4" i="14"/>
  <c r="F3" i="14"/>
  <c r="O2" i="14"/>
  <c r="E5" i="16"/>
  <c r="H5" i="16"/>
  <c r="H5" i="18"/>
  <c r="H6" i="18"/>
  <c r="H7" i="18"/>
  <c r="H8" i="18"/>
  <c r="H9" i="18"/>
  <c r="H10" i="18"/>
  <c r="H11" i="18"/>
  <c r="H16" i="18"/>
  <c r="H17" i="18"/>
  <c r="H18" i="18"/>
  <c r="H19" i="18"/>
  <c r="H20" i="18"/>
  <c r="H21" i="18"/>
  <c r="H22" i="18"/>
  <c r="E8" i="16"/>
  <c r="F8" i="16"/>
  <c r="E16" i="16"/>
  <c r="G16" i="16"/>
  <c r="E20" i="16"/>
  <c r="H20" i="16"/>
  <c r="B8" i="17"/>
  <c r="F8" i="15"/>
  <c r="P4" i="14"/>
  <c r="U4" i="14"/>
  <c r="E19" i="16"/>
  <c r="G19" i="16"/>
  <c r="H19" i="15"/>
  <c r="G19" i="15"/>
  <c r="G27" i="15"/>
  <c r="G3" i="15"/>
  <c r="F27" i="16"/>
  <c r="F19" i="15"/>
  <c r="G7" i="16"/>
  <c r="F7" i="16"/>
  <c r="G20" i="15"/>
  <c r="F22" i="15"/>
  <c r="H22" i="15"/>
  <c r="H5" i="15"/>
  <c r="G18" i="16"/>
  <c r="F16" i="16"/>
  <c r="F5" i="16"/>
  <c r="G10" i="16"/>
  <c r="F10" i="16"/>
  <c r="W5" i="15"/>
  <c r="W2" i="15"/>
  <c r="W4" i="15"/>
  <c r="W3" i="15"/>
  <c r="H17" i="16"/>
  <c r="E9" i="15"/>
  <c r="F9" i="15"/>
  <c r="E7" i="15"/>
  <c r="H7" i="15"/>
  <c r="E10" i="15"/>
  <c r="H10" i="15"/>
  <c r="G15" i="18"/>
  <c r="E28" i="8"/>
  <c r="D3" i="15"/>
  <c r="F17" i="15"/>
  <c r="H9" i="16"/>
  <c r="G21" i="16"/>
  <c r="G11" i="15"/>
  <c r="AS10" i="2"/>
  <c r="AS24" i="2"/>
  <c r="AT9" i="2"/>
  <c r="AT24" i="2"/>
  <c r="AS5" i="2"/>
  <c r="AT23" i="2"/>
  <c r="AT5" i="2"/>
  <c r="AS8" i="2"/>
  <c r="AT8" i="2"/>
  <c r="AS9" i="2"/>
  <c r="G6" i="15"/>
  <c r="G9" i="16"/>
  <c r="F4" i="16"/>
  <c r="F3" i="18"/>
  <c r="C38" i="19"/>
  <c r="C41" i="19"/>
  <c r="C44" i="19"/>
  <c r="D18" i="19"/>
  <c r="D27" i="19"/>
  <c r="D33" i="19"/>
  <c r="F27" i="17"/>
  <c r="G28" i="18"/>
  <c r="G39" i="18"/>
  <c r="H42" i="18"/>
  <c r="F19" i="19"/>
  <c r="A28" i="7"/>
  <c r="E26" i="16"/>
  <c r="C29" i="15"/>
  <c r="D20" i="16"/>
  <c r="D28" i="16"/>
  <c r="D37" i="17"/>
  <c r="H42" i="17"/>
  <c r="D6" i="18"/>
  <c r="B14" i="18"/>
  <c r="AF4" i="1"/>
  <c r="AJ26" i="2"/>
  <c r="C43" i="16"/>
  <c r="G6" i="16"/>
  <c r="H6" i="15"/>
  <c r="H18" i="15"/>
  <c r="G27" i="16"/>
  <c r="F21" i="17"/>
  <c r="F19" i="18"/>
  <c r="F40" i="16"/>
  <c r="G9" i="17"/>
  <c r="G18" i="17"/>
  <c r="F31" i="19"/>
  <c r="H7" i="17"/>
  <c r="C30" i="18"/>
  <c r="C38" i="18"/>
  <c r="C44" i="18"/>
  <c r="C9" i="19"/>
  <c r="D3" i="16"/>
  <c r="F36" i="18"/>
  <c r="D16" i="15"/>
  <c r="C22" i="15"/>
  <c r="D14" i="16"/>
  <c r="D5" i="17"/>
  <c r="D26" i="17"/>
  <c r="D43" i="17"/>
  <c r="D4" i="18"/>
  <c r="B6" i="18"/>
  <c r="B17" i="18"/>
  <c r="B20" i="18"/>
  <c r="D25" i="18"/>
  <c r="B43" i="16"/>
  <c r="A28" i="10"/>
  <c r="E26" i="19"/>
  <c r="H16" i="16"/>
  <c r="F3" i="15"/>
  <c r="D9" i="18"/>
  <c r="B9" i="18"/>
  <c r="H21" i="17"/>
  <c r="G36" i="19"/>
  <c r="G39" i="19"/>
  <c r="G42" i="19"/>
  <c r="D14" i="19"/>
  <c r="D21" i="19"/>
  <c r="D30" i="19"/>
  <c r="H31" i="18"/>
  <c r="F7" i="19"/>
  <c r="F22" i="19"/>
  <c r="G28" i="19"/>
  <c r="D38" i="19"/>
  <c r="D44" i="19"/>
  <c r="D20" i="17"/>
  <c r="B18" i="18"/>
  <c r="B21" i="18"/>
  <c r="C16" i="15"/>
  <c r="E3" i="19"/>
  <c r="H3" i="19"/>
  <c r="B33" i="17"/>
  <c r="C7" i="17"/>
  <c r="C40" i="16"/>
  <c r="G3" i="18"/>
  <c r="F3" i="17"/>
  <c r="D15" i="17"/>
  <c r="D41" i="17"/>
  <c r="X5" i="14"/>
  <c r="F19" i="16"/>
  <c r="AH5" i="1"/>
  <c r="A28" i="6"/>
  <c r="C43" i="17"/>
  <c r="C26" i="16"/>
  <c r="C39" i="15"/>
  <c r="C32" i="15"/>
  <c r="G20" i="16"/>
  <c r="C14" i="17"/>
  <c r="G8" i="16"/>
  <c r="H21" i="15"/>
  <c r="E26" i="15"/>
  <c r="AH4" i="1"/>
  <c r="B16" i="17"/>
  <c r="E15" i="16"/>
  <c r="A27" i="9"/>
  <c r="O5" i="18"/>
  <c r="E14" i="18"/>
  <c r="A28" i="8"/>
  <c r="E25" i="17"/>
  <c r="U5" i="14"/>
  <c r="E14" i="19"/>
  <c r="H11" i="16"/>
  <c r="AJ5" i="1"/>
  <c r="AK5" i="1"/>
  <c r="AW5" i="1"/>
  <c r="AW13" i="1"/>
  <c r="AL4" i="1"/>
  <c r="BO8" i="1"/>
  <c r="AK6" i="1"/>
  <c r="AW6" i="1"/>
  <c r="AW14" i="1"/>
  <c r="A29" i="8"/>
  <c r="E26" i="17"/>
  <c r="G26" i="17"/>
  <c r="E3" i="16"/>
  <c r="E4" i="15"/>
  <c r="C42" i="17"/>
  <c r="C22" i="17"/>
  <c r="C11" i="17"/>
  <c r="C36" i="16"/>
  <c r="C22" i="16"/>
  <c r="C17" i="16"/>
  <c r="B4" i="16"/>
  <c r="C43" i="15"/>
  <c r="B5" i="15"/>
  <c r="AI5" i="2"/>
  <c r="AP9" i="2"/>
  <c r="AH23" i="2"/>
  <c r="AQ24" i="2"/>
  <c r="AS26" i="2"/>
  <c r="AI23" i="2"/>
  <c r="E26" i="18"/>
  <c r="T2" i="18"/>
  <c r="W2" i="18"/>
  <c r="V2" i="18"/>
  <c r="O4" i="18"/>
  <c r="O2" i="18"/>
  <c r="S3" i="18"/>
  <c r="G26" i="15"/>
  <c r="F26" i="15"/>
  <c r="H26" i="15"/>
  <c r="K3" i="14"/>
  <c r="L3" i="14"/>
  <c r="R5" i="14"/>
  <c r="AM7" i="1"/>
  <c r="AM6" i="1"/>
  <c r="AX6" i="1"/>
  <c r="AX14" i="1"/>
  <c r="AK4" i="1"/>
  <c r="BP7" i="1"/>
  <c r="AJ4" i="1"/>
  <c r="BN4" i="1"/>
  <c r="AI5" i="1"/>
  <c r="AM5" i="1"/>
  <c r="BO5" i="1"/>
  <c r="AG4" i="1"/>
  <c r="E14" i="17"/>
  <c r="G14" i="17"/>
  <c r="AH10" i="2"/>
  <c r="AP10" i="2"/>
  <c r="C39" i="16"/>
  <c r="C31" i="16"/>
  <c r="B21" i="16"/>
  <c r="C16" i="16"/>
  <c r="C42" i="15"/>
  <c r="F38" i="15"/>
  <c r="C36" i="15"/>
  <c r="C9" i="15"/>
  <c r="X4" i="14"/>
  <c r="V5" i="15"/>
  <c r="H19" i="16"/>
  <c r="G5" i="16"/>
  <c r="H18" i="16"/>
  <c r="R4" i="14"/>
  <c r="G4" i="16"/>
  <c r="G17" i="15"/>
  <c r="AL7" i="1"/>
  <c r="AI4" i="1"/>
  <c r="BP6" i="1"/>
  <c r="AX5" i="1"/>
  <c r="AX13" i="1"/>
  <c r="AL5" i="1"/>
  <c r="AM4" i="1"/>
  <c r="BP8" i="1"/>
  <c r="AJ6" i="1"/>
  <c r="C39" i="17"/>
  <c r="C28" i="17"/>
  <c r="C26" i="17"/>
  <c r="C25" i="17"/>
  <c r="C18" i="17"/>
  <c r="E16" i="15"/>
  <c r="G16" i="15"/>
  <c r="V4" i="14"/>
  <c r="AT26" i="2"/>
  <c r="AS23" i="2"/>
  <c r="AT10" i="2"/>
  <c r="AU10" i="2"/>
  <c r="AH5" i="2"/>
  <c r="H9" i="15"/>
  <c r="C29" i="17"/>
  <c r="B20" i="17"/>
  <c r="C19" i="17"/>
  <c r="C6" i="17"/>
  <c r="C4" i="17"/>
  <c r="C30" i="16"/>
  <c r="C27" i="16"/>
  <c r="C14" i="16"/>
  <c r="B6" i="16"/>
  <c r="C33" i="15"/>
  <c r="F6" i="16"/>
  <c r="F20" i="16"/>
  <c r="H22" i="16"/>
  <c r="H8" i="16"/>
  <c r="F21" i="16"/>
  <c r="F21" i="15"/>
  <c r="H26" i="18"/>
  <c r="G17" i="16"/>
  <c r="G9" i="15"/>
  <c r="G18" i="15"/>
  <c r="H11" i="15"/>
  <c r="B44" i="17"/>
  <c r="B40" i="17"/>
  <c r="B36" i="17"/>
  <c r="B41" i="16"/>
  <c r="B37" i="16"/>
  <c r="G29" i="16"/>
  <c r="B11" i="16"/>
  <c r="B5" i="16"/>
  <c r="B44" i="15"/>
  <c r="B40" i="15"/>
  <c r="C8" i="15"/>
  <c r="B9" i="17"/>
  <c r="H25" i="17"/>
  <c r="G25" i="17"/>
  <c r="BO4" i="1"/>
  <c r="BP5" i="1"/>
  <c r="AU4" i="1"/>
  <c r="F4" i="15"/>
  <c r="G4" i="15"/>
  <c r="H4" i="15"/>
  <c r="F7" i="15"/>
  <c r="G7" i="15"/>
  <c r="F26" i="17"/>
  <c r="H26" i="17"/>
  <c r="AX7" i="1"/>
  <c r="BO7" i="1"/>
  <c r="AV5" i="1"/>
  <c r="H14" i="17"/>
  <c r="G3" i="16"/>
  <c r="H3" i="16"/>
  <c r="F3" i="16"/>
  <c r="H16" i="15"/>
  <c r="E15" i="19"/>
  <c r="K2" i="14"/>
  <c r="L2" i="14"/>
  <c r="BO6" i="1"/>
  <c r="H14" i="18"/>
  <c r="F14" i="18"/>
  <c r="G14" i="19"/>
  <c r="F14" i="19"/>
  <c r="H14" i="19"/>
  <c r="AW4" i="1"/>
  <c r="AW12" i="1"/>
  <c r="E27" i="10"/>
  <c r="P5" i="19"/>
  <c r="A27" i="6"/>
  <c r="E14" i="15"/>
  <c r="AX4" i="1"/>
  <c r="BN8" i="1"/>
  <c r="G10" i="15"/>
  <c r="F10" i="15"/>
  <c r="P4" i="18"/>
  <c r="W5" i="18"/>
  <c r="O3" i="18"/>
  <c r="P2" i="18"/>
  <c r="V5" i="18"/>
  <c r="V4" i="18"/>
  <c r="T3" i="18"/>
  <c r="X3" i="18"/>
  <c r="P3" i="18"/>
  <c r="Q4" i="18"/>
  <c r="S5" i="18"/>
  <c r="E25" i="18"/>
  <c r="Q2" i="18"/>
  <c r="Q3" i="18"/>
  <c r="T4" i="18"/>
  <c r="S2" i="18"/>
  <c r="X2" i="18"/>
  <c r="S4" i="18"/>
  <c r="W3" i="18"/>
  <c r="W4" i="18"/>
  <c r="P5" i="18"/>
  <c r="F15" i="18"/>
  <c r="H15" i="18"/>
  <c r="V2" i="17"/>
  <c r="P5" i="17"/>
  <c r="S4" i="17"/>
  <c r="W4" i="17"/>
  <c r="V3" i="17"/>
  <c r="T2" i="17"/>
  <c r="V4" i="17"/>
  <c r="E15" i="17"/>
  <c r="P4" i="17"/>
  <c r="V5" i="17"/>
  <c r="T3" i="17"/>
  <c r="W3" i="17"/>
  <c r="Q2" i="17"/>
  <c r="P2" i="17"/>
  <c r="P3" i="17"/>
  <c r="W2" i="17"/>
  <c r="F25" i="17"/>
  <c r="G14" i="18"/>
  <c r="S3" i="19"/>
  <c r="T4" i="19"/>
  <c r="BN5" i="1"/>
  <c r="BN6" i="1"/>
  <c r="H27" i="15"/>
  <c r="E4" i="18"/>
  <c r="A16" i="7"/>
  <c r="E17" i="6"/>
  <c r="B27" i="18"/>
  <c r="B41" i="17"/>
  <c r="B37" i="17"/>
  <c r="B31" i="17"/>
  <c r="B27" i="17"/>
  <c r="B21" i="17"/>
  <c r="B17" i="17"/>
  <c r="B15" i="17"/>
  <c r="B10" i="17"/>
  <c r="B5" i="17"/>
  <c r="B42" i="16"/>
  <c r="B38" i="16"/>
  <c r="B32" i="16"/>
  <c r="B29" i="16"/>
  <c r="B28" i="16"/>
  <c r="B20" i="16"/>
  <c r="B18" i="16"/>
  <c r="B10" i="16"/>
  <c r="B8" i="16"/>
  <c r="B41" i="15"/>
  <c r="B38" i="15"/>
  <c r="B37" i="15"/>
  <c r="B31" i="15"/>
  <c r="C5" i="15"/>
  <c r="B3" i="15"/>
  <c r="G22" i="16"/>
  <c r="F5" i="15"/>
  <c r="H20" i="15"/>
  <c r="R2" i="14"/>
  <c r="G3" i="17"/>
  <c r="E4" i="19"/>
  <c r="E4" i="17"/>
  <c r="AU24" i="2"/>
  <c r="AU23" i="2"/>
  <c r="AU9" i="2"/>
  <c r="AU5" i="2"/>
  <c r="AU8" i="2"/>
  <c r="AQ26" i="2"/>
  <c r="AQ10" i="2"/>
  <c r="AO10" i="2"/>
  <c r="AR9" i="2"/>
  <c r="AQ9" i="2"/>
  <c r="AO9" i="2"/>
  <c r="AR26" i="2"/>
  <c r="AP26" i="2"/>
  <c r="AR23" i="2"/>
  <c r="AR24" i="2"/>
  <c r="AP24" i="2"/>
  <c r="AO24" i="2"/>
  <c r="AN24" i="2"/>
  <c r="AQ23" i="2"/>
  <c r="H26" i="16"/>
  <c r="F26" i="16"/>
  <c r="G26" i="16"/>
  <c r="X4" i="18"/>
  <c r="AR8" i="2"/>
  <c r="Q5" i="18"/>
  <c r="G26" i="19"/>
  <c r="H26" i="19"/>
  <c r="F26" i="19"/>
  <c r="T5" i="18"/>
  <c r="X5" i="18"/>
  <c r="V3" i="18"/>
  <c r="G3" i="19"/>
  <c r="W5" i="19"/>
  <c r="F16" i="15"/>
  <c r="AU26" i="2"/>
  <c r="F3" i="19"/>
  <c r="V3" i="15"/>
  <c r="V2" i="15"/>
  <c r="V4" i="15"/>
  <c r="K5" i="14"/>
  <c r="L5" i="14"/>
  <c r="AV4" i="1"/>
  <c r="BN7" i="1"/>
  <c r="F14" i="17"/>
  <c r="AP5" i="2"/>
  <c r="H15" i="16"/>
  <c r="G15" i="16"/>
  <c r="F15" i="16"/>
  <c r="S3" i="17"/>
  <c r="X3" i="17"/>
  <c r="Q5" i="17"/>
  <c r="U5" i="17"/>
  <c r="Q4" i="17"/>
  <c r="O5" i="17"/>
  <c r="S5" i="17"/>
  <c r="S2" i="17"/>
  <c r="X2" i="17"/>
  <c r="Q3" i="17"/>
  <c r="U3" i="17"/>
  <c r="W5" i="17"/>
  <c r="O2" i="17"/>
  <c r="O3" i="17"/>
  <c r="T4" i="17"/>
  <c r="X4" i="17"/>
  <c r="T5" i="17"/>
  <c r="O4" i="17"/>
  <c r="AQ5" i="2"/>
  <c r="AR5" i="2"/>
  <c r="AR10" i="2"/>
  <c r="AP8" i="2"/>
  <c r="AQ8" i="2"/>
  <c r="AP23" i="2"/>
  <c r="F26" i="18"/>
  <c r="G26" i="18"/>
  <c r="S5" i="19"/>
  <c r="Q3" i="19"/>
  <c r="Q5" i="19"/>
  <c r="U5" i="19"/>
  <c r="Q2" i="19"/>
  <c r="V5" i="19"/>
  <c r="T3" i="19"/>
  <c r="X3" i="19"/>
  <c r="O2" i="19"/>
  <c r="K4" i="14"/>
  <c r="L4" i="14"/>
  <c r="R4" i="18"/>
  <c r="U3" i="18"/>
  <c r="BM6" i="1"/>
  <c r="U2" i="17"/>
  <c r="R3" i="18"/>
  <c r="F4" i="19"/>
  <c r="G4" i="19"/>
  <c r="H4" i="19"/>
  <c r="A27" i="7"/>
  <c r="E25" i="16"/>
  <c r="E14" i="16"/>
  <c r="S3" i="16"/>
  <c r="R5" i="17"/>
  <c r="U5" i="18"/>
  <c r="R5" i="18"/>
  <c r="H25" i="18"/>
  <c r="F25" i="18"/>
  <c r="G25" i="18"/>
  <c r="AX12" i="1"/>
  <c r="BK8" i="1"/>
  <c r="BM8" i="1"/>
  <c r="BL8" i="1"/>
  <c r="V3" i="16"/>
  <c r="V4" i="16"/>
  <c r="V5" i="16"/>
  <c r="V2" i="16"/>
  <c r="AU12" i="1"/>
  <c r="BK4" i="1"/>
  <c r="BL4" i="1"/>
  <c r="BM4" i="1"/>
  <c r="F4" i="17"/>
  <c r="G4" i="17"/>
  <c r="H4" i="17"/>
  <c r="E27" i="6"/>
  <c r="Q3" i="15"/>
  <c r="E15" i="15"/>
  <c r="R3" i="17"/>
  <c r="F14" i="15"/>
  <c r="G14" i="15"/>
  <c r="H14" i="15"/>
  <c r="H4" i="18"/>
  <c r="F4" i="18"/>
  <c r="G4" i="18"/>
  <c r="U4" i="17"/>
  <c r="R4" i="17"/>
  <c r="AV12" i="1"/>
  <c r="BL6" i="1"/>
  <c r="AX15" i="1"/>
  <c r="BK7" i="1"/>
  <c r="BL7" i="1"/>
  <c r="BM7" i="1"/>
  <c r="K3" i="18"/>
  <c r="E25" i="19"/>
  <c r="S2" i="19"/>
  <c r="O4" i="15"/>
  <c r="Q4" i="19"/>
  <c r="T2" i="15"/>
  <c r="P4" i="19"/>
  <c r="U4" i="19"/>
  <c r="O5" i="19"/>
  <c r="R5" i="19"/>
  <c r="P3" i="19"/>
  <c r="U3" i="19"/>
  <c r="S4" i="19"/>
  <c r="X4" i="19"/>
  <c r="O4" i="19"/>
  <c r="R4" i="19"/>
  <c r="T5" i="19"/>
  <c r="X5" i="19"/>
  <c r="W3" i="19"/>
  <c r="W4" i="19"/>
  <c r="BK5" i="1"/>
  <c r="BL5" i="1"/>
  <c r="BM5" i="1"/>
  <c r="AV13" i="1"/>
  <c r="P3" i="15"/>
  <c r="G15" i="17"/>
  <c r="H15" i="17"/>
  <c r="F15" i="17"/>
  <c r="G15" i="19"/>
  <c r="F15" i="19"/>
  <c r="H15" i="19"/>
  <c r="W5" i="16"/>
  <c r="W2" i="16"/>
  <c r="W4" i="16"/>
  <c r="W3" i="16"/>
  <c r="U2" i="18"/>
  <c r="K2" i="18"/>
  <c r="W2" i="19"/>
  <c r="T2" i="19"/>
  <c r="Q2" i="15"/>
  <c r="P2" i="19"/>
  <c r="U2" i="19"/>
  <c r="U4" i="18"/>
  <c r="K4" i="18"/>
  <c r="BK6" i="1"/>
  <c r="T3" i="15"/>
  <c r="O3" i="19"/>
  <c r="R3" i="19"/>
  <c r="V3" i="19"/>
  <c r="V4" i="19"/>
  <c r="V2" i="19"/>
  <c r="R2" i="17"/>
  <c r="R2" i="18"/>
  <c r="AO26" i="2"/>
  <c r="AL26" i="2"/>
  <c r="AO23" i="2"/>
  <c r="AN23" i="2"/>
  <c r="K5" i="19"/>
  <c r="K2" i="17"/>
  <c r="BJ5" i="1"/>
  <c r="T2" i="16"/>
  <c r="K5" i="18"/>
  <c r="AM10" i="2"/>
  <c r="AO5" i="2"/>
  <c r="AK9" i="2"/>
  <c r="T3" i="16"/>
  <c r="X3" i="16"/>
  <c r="BJ4" i="1"/>
  <c r="BC4" i="1"/>
  <c r="AO8" i="2"/>
  <c r="AL10" i="2"/>
  <c r="U3" i="15"/>
  <c r="K3" i="17"/>
  <c r="K4" i="17"/>
  <c r="X5" i="17"/>
  <c r="K5" i="17"/>
  <c r="AN9" i="2"/>
  <c r="L3" i="18"/>
  <c r="S2" i="15"/>
  <c r="X2" i="15"/>
  <c r="Q5" i="15"/>
  <c r="O3" i="15"/>
  <c r="R3" i="15"/>
  <c r="H14" i="16"/>
  <c r="G14" i="16"/>
  <c r="F14" i="16"/>
  <c r="F25" i="16"/>
  <c r="G25" i="16"/>
  <c r="H25" i="16"/>
  <c r="G15" i="15"/>
  <c r="H15" i="15"/>
  <c r="F15" i="15"/>
  <c r="BH5" i="1"/>
  <c r="BG5" i="1"/>
  <c r="BI5" i="1"/>
  <c r="G25" i="19"/>
  <c r="F25" i="19"/>
  <c r="H25" i="19"/>
  <c r="BG4" i="1"/>
  <c r="R2" i="19"/>
  <c r="P4" i="15"/>
  <c r="S5" i="16"/>
  <c r="L4" i="18"/>
  <c r="S5" i="15"/>
  <c r="Q5" i="16"/>
  <c r="P5" i="15"/>
  <c r="U5" i="15"/>
  <c r="O5" i="15"/>
  <c r="Q4" i="15"/>
  <c r="T4" i="15"/>
  <c r="BJ8" i="1"/>
  <c r="BF4" i="1"/>
  <c r="O3" i="16"/>
  <c r="T5" i="16"/>
  <c r="O5" i="16"/>
  <c r="P3" i="16"/>
  <c r="L5" i="18"/>
  <c r="S4" i="15"/>
  <c r="Q3" i="16"/>
  <c r="K4" i="19"/>
  <c r="O2" i="15"/>
  <c r="S3" i="15"/>
  <c r="X3" i="15"/>
  <c r="K3" i="15"/>
  <c r="L3" i="15"/>
  <c r="P2" i="16"/>
  <c r="P4" i="16"/>
  <c r="P5" i="16"/>
  <c r="O4" i="16"/>
  <c r="Q2" i="16"/>
  <c r="BJ6" i="1"/>
  <c r="L2" i="18"/>
  <c r="P2" i="15"/>
  <c r="U2" i="15"/>
  <c r="K3" i="19"/>
  <c r="T5" i="15"/>
  <c r="X2" i="19"/>
  <c r="K2" i="19"/>
  <c r="Q4" i="16"/>
  <c r="BJ7" i="1"/>
  <c r="BE4" i="1"/>
  <c r="E25" i="15"/>
  <c r="O2" i="16"/>
  <c r="T4" i="16"/>
  <c r="S2" i="16"/>
  <c r="S4" i="16"/>
  <c r="AN26" i="2"/>
  <c r="AM24" i="2"/>
  <c r="AK26" i="2"/>
  <c r="AM23" i="2"/>
  <c r="AL23" i="2"/>
  <c r="AK24" i="2"/>
  <c r="BH4" i="1"/>
  <c r="AN5" i="2"/>
  <c r="BI4" i="1"/>
  <c r="BB5" i="1"/>
  <c r="L2" i="17"/>
  <c r="M10" i="8"/>
  <c r="X2" i="16"/>
  <c r="AM5" i="2"/>
  <c r="AK10" i="2"/>
  <c r="AN8" i="2"/>
  <c r="AM8" i="2"/>
  <c r="AK8" i="2"/>
  <c r="AL5" i="2"/>
  <c r="AL9" i="2"/>
  <c r="R2" i="16"/>
  <c r="L4" i="17"/>
  <c r="L3" i="17"/>
  <c r="H12" i="8"/>
  <c r="L5" i="17"/>
  <c r="L10" i="8"/>
  <c r="K10" i="8"/>
  <c r="J10" i="8"/>
  <c r="H10" i="8"/>
  <c r="B18" i="4"/>
  <c r="E17" i="4"/>
  <c r="H12" i="4"/>
  <c r="I10" i="8"/>
  <c r="U3" i="16"/>
  <c r="K3" i="16"/>
  <c r="L3" i="16"/>
  <c r="X4" i="16"/>
  <c r="R2" i="15"/>
  <c r="X5" i="16"/>
  <c r="O11" i="8"/>
  <c r="N11" i="8"/>
  <c r="BF5" i="1"/>
  <c r="BE5" i="1"/>
  <c r="U4" i="16"/>
  <c r="L12" i="8"/>
  <c r="U4" i="15"/>
  <c r="H11" i="8"/>
  <c r="L2" i="19"/>
  <c r="L5" i="19"/>
  <c r="F25" i="15"/>
  <c r="G25" i="15"/>
  <c r="H25" i="15"/>
  <c r="BB6" i="1"/>
  <c r="BF6" i="1"/>
  <c r="BE6" i="1"/>
  <c r="BH6" i="1"/>
  <c r="BG6" i="1"/>
  <c r="BC6" i="1"/>
  <c r="BI6" i="1"/>
  <c r="L10" i="9"/>
  <c r="K11" i="9"/>
  <c r="L12" i="9"/>
  <c r="I9" i="9"/>
  <c r="K9" i="9"/>
  <c r="H11" i="9"/>
  <c r="O12" i="9"/>
  <c r="M9" i="9"/>
  <c r="N9" i="9"/>
  <c r="M12" i="9"/>
  <c r="H12" i="9"/>
  <c r="M10" i="9"/>
  <c r="K10" i="9"/>
  <c r="J12" i="9"/>
  <c r="I11" i="9"/>
  <c r="J10" i="9"/>
  <c r="M11" i="9"/>
  <c r="N10" i="9"/>
  <c r="J9" i="9"/>
  <c r="L11" i="9"/>
  <c r="O11" i="9"/>
  <c r="N11" i="9"/>
  <c r="I10" i="9"/>
  <c r="K12" i="9"/>
  <c r="O10" i="9"/>
  <c r="J11" i="9"/>
  <c r="L9" i="9"/>
  <c r="H9" i="9"/>
  <c r="N9" i="4"/>
  <c r="I12" i="9"/>
  <c r="O9" i="9"/>
  <c r="H10" i="9"/>
  <c r="N18" i="4"/>
  <c r="N12" i="9"/>
  <c r="K4" i="16"/>
  <c r="L4" i="16"/>
  <c r="L4" i="19"/>
  <c r="K13" i="8"/>
  <c r="O12" i="8"/>
  <c r="U5" i="16"/>
  <c r="K5" i="16"/>
  <c r="L5" i="16"/>
  <c r="R3" i="16"/>
  <c r="R4" i="15"/>
  <c r="BD4" i="1"/>
  <c r="M13" i="8"/>
  <c r="J13" i="8"/>
  <c r="BD5" i="1"/>
  <c r="K2" i="15"/>
  <c r="L2" i="15"/>
  <c r="R4" i="16"/>
  <c r="X4" i="15"/>
  <c r="R5" i="15"/>
  <c r="L11" i="8"/>
  <c r="O13" i="8"/>
  <c r="K11" i="8"/>
  <c r="I11" i="8"/>
  <c r="BH7" i="1"/>
  <c r="BG7" i="1"/>
  <c r="BC7" i="1"/>
  <c r="BD7" i="1"/>
  <c r="BB7" i="1"/>
  <c r="BF7" i="1"/>
  <c r="BI7" i="1"/>
  <c r="BI8" i="1"/>
  <c r="BG8" i="1"/>
  <c r="BD8" i="1"/>
  <c r="BE8" i="1"/>
  <c r="BC8" i="1"/>
  <c r="BH8" i="1"/>
  <c r="BB8" i="1"/>
  <c r="L3" i="19"/>
  <c r="U2" i="16"/>
  <c r="R5" i="16"/>
  <c r="X5" i="15"/>
  <c r="K5" i="15"/>
  <c r="L5" i="15"/>
  <c r="I12" i="8"/>
  <c r="J11" i="8"/>
  <c r="J12" i="8"/>
  <c r="AV26" i="2"/>
  <c r="AZ26" i="2"/>
  <c r="AV23" i="2"/>
  <c r="AZ23" i="2"/>
  <c r="AX26" i="2"/>
  <c r="AX23" i="2"/>
  <c r="AW26" i="2"/>
  <c r="AW23" i="2"/>
  <c r="AW24" i="2"/>
  <c r="AV24" i="2"/>
  <c r="AZ24" i="2"/>
  <c r="AX24" i="2"/>
  <c r="AV10" i="2"/>
  <c r="AZ10" i="2"/>
  <c r="N12" i="8"/>
  <c r="AX8" i="2"/>
  <c r="K4" i="15"/>
  <c r="L4" i="15"/>
  <c r="N13" i="8"/>
  <c r="K2" i="16"/>
  <c r="L2" i="16"/>
  <c r="O10" i="7"/>
  <c r="H13" i="8"/>
  <c r="M12" i="8"/>
  <c r="P12" i="8"/>
  <c r="L13" i="8"/>
  <c r="AW10" i="2"/>
  <c r="N10" i="8"/>
  <c r="P10" i="8"/>
  <c r="AX10" i="2"/>
  <c r="K12" i="8"/>
  <c r="I13" i="8"/>
  <c r="M11" i="8"/>
  <c r="P11" i="8"/>
  <c r="O10" i="8"/>
  <c r="AX9" i="2"/>
  <c r="AV5" i="2"/>
  <c r="AZ5" i="2"/>
  <c r="AV8" i="2"/>
  <c r="AZ8" i="2"/>
  <c r="AW9" i="2"/>
  <c r="AW5" i="2"/>
  <c r="AV9" i="2"/>
  <c r="AZ9" i="2"/>
  <c r="AX5" i="2"/>
  <c r="AW8" i="2"/>
  <c r="P9" i="9"/>
  <c r="BQ4" i="1"/>
  <c r="BQ5" i="1"/>
  <c r="BT5" i="1"/>
  <c r="P13" i="8"/>
  <c r="BU7" i="1"/>
  <c r="BS5" i="1"/>
  <c r="P10" i="9"/>
  <c r="BU5" i="1"/>
  <c r="BU8" i="1"/>
  <c r="M12" i="7"/>
  <c r="H11" i="7"/>
  <c r="M9" i="7"/>
  <c r="H9" i="7"/>
  <c r="B16" i="4"/>
  <c r="O11" i="7"/>
  <c r="J12" i="7"/>
  <c r="O9" i="7"/>
  <c r="I9" i="7"/>
  <c r="O12" i="7"/>
  <c r="L11" i="7"/>
  <c r="L12" i="7"/>
  <c r="K12" i="7"/>
  <c r="M11" i="7"/>
  <c r="N9" i="7"/>
  <c r="H12" i="7"/>
  <c r="K11" i="7"/>
  <c r="H10" i="7"/>
  <c r="J9" i="7"/>
  <c r="I10" i="7"/>
  <c r="N12" i="7"/>
  <c r="N11" i="7"/>
  <c r="I12" i="7"/>
  <c r="K10" i="7"/>
  <c r="L9" i="7"/>
  <c r="L10" i="7"/>
  <c r="N10" i="7"/>
  <c r="K9" i="7"/>
  <c r="BS8" i="1"/>
  <c r="BR8" i="1"/>
  <c r="BQ8" i="1"/>
  <c r="BR6" i="1"/>
  <c r="BS6" i="1"/>
  <c r="BQ6" i="1"/>
  <c r="BR5" i="1"/>
  <c r="BV5" i="1"/>
  <c r="AB5" i="1"/>
  <c r="BU6" i="1"/>
  <c r="P11" i="9"/>
  <c r="L12" i="6"/>
  <c r="N12" i="6"/>
  <c r="K11" i="6"/>
  <c r="O11" i="6"/>
  <c r="I12" i="6"/>
  <c r="I10" i="6"/>
  <c r="M12" i="6"/>
  <c r="K9" i="6"/>
  <c r="H9" i="6"/>
  <c r="B11" i="4"/>
  <c r="K12" i="6"/>
  <c r="L11" i="6"/>
  <c r="O9" i="6"/>
  <c r="H12" i="6"/>
  <c r="L10" i="6"/>
  <c r="M10" i="6"/>
  <c r="J9" i="6"/>
  <c r="N10" i="6"/>
  <c r="M11" i="6"/>
  <c r="I11" i="6"/>
  <c r="J11" i="6"/>
  <c r="J10" i="6"/>
  <c r="N9" i="6"/>
  <c r="O10" i="6"/>
  <c r="I9" i="6"/>
  <c r="N11" i="6"/>
  <c r="M9" i="6"/>
  <c r="L9" i="6"/>
  <c r="O12" i="6"/>
  <c r="H11" i="6"/>
  <c r="H10" i="6"/>
  <c r="K10" i="6"/>
  <c r="J12" i="6"/>
  <c r="BT4" i="1"/>
  <c r="L9" i="10"/>
  <c r="J10" i="10"/>
  <c r="I11" i="10"/>
  <c r="K12" i="10"/>
  <c r="H9" i="10"/>
  <c r="N16" i="4"/>
  <c r="K17" i="4"/>
  <c r="J9" i="10"/>
  <c r="K10" i="10"/>
  <c r="L11" i="10"/>
  <c r="O10" i="10"/>
  <c r="M9" i="10"/>
  <c r="M11" i="10"/>
  <c r="N11" i="10"/>
  <c r="M12" i="10"/>
  <c r="N9" i="10"/>
  <c r="I9" i="10"/>
  <c r="L12" i="10"/>
  <c r="O11" i="10"/>
  <c r="M10" i="10"/>
  <c r="I12" i="10"/>
  <c r="I10" i="10"/>
  <c r="L10" i="10"/>
  <c r="K11" i="10"/>
  <c r="K9" i="10"/>
  <c r="H10" i="10"/>
  <c r="N10" i="10"/>
  <c r="O9" i="10"/>
  <c r="O12" i="10"/>
  <c r="H12" i="10"/>
  <c r="J11" i="10"/>
  <c r="N12" i="10"/>
  <c r="J12" i="10"/>
  <c r="H11" i="10"/>
  <c r="BR7" i="1"/>
  <c r="BS7" i="1"/>
  <c r="BQ7" i="1"/>
  <c r="BS4" i="1"/>
  <c r="P12" i="9"/>
  <c r="BU4" i="1"/>
  <c r="BR4" i="1"/>
  <c r="AY26" i="2"/>
  <c r="BA26" i="2"/>
  <c r="W26" i="2"/>
  <c r="AY23" i="2"/>
  <c r="BA23" i="2"/>
  <c r="W23" i="2"/>
  <c r="AY24" i="2"/>
  <c r="BA24" i="2"/>
  <c r="W24" i="2"/>
  <c r="AY8" i="2"/>
  <c r="BA8" i="2"/>
  <c r="W8" i="2"/>
  <c r="AY10" i="2"/>
  <c r="BA10" i="2"/>
  <c r="W10" i="2"/>
  <c r="P9" i="6"/>
  <c r="J11" i="7"/>
  <c r="J10" i="7"/>
  <c r="I11" i="7"/>
  <c r="M10" i="7"/>
  <c r="AY5" i="2"/>
  <c r="BA5" i="2"/>
  <c r="W5" i="2"/>
  <c r="AY9" i="2"/>
  <c r="BA9" i="2"/>
  <c r="W9" i="2"/>
  <c r="P11" i="6"/>
  <c r="P12" i="10"/>
  <c r="P11" i="7"/>
  <c r="P9" i="7"/>
  <c r="BV4" i="1"/>
  <c r="AB4" i="1"/>
  <c r="P10" i="6"/>
  <c r="P10" i="10"/>
  <c r="P9" i="10"/>
  <c r="P12" i="7"/>
  <c r="BT8" i="1"/>
  <c r="BV8" i="1"/>
  <c r="AB8" i="1"/>
  <c r="BT7" i="1"/>
  <c r="BV7" i="1"/>
  <c r="AB7" i="1"/>
  <c r="BT6" i="1"/>
  <c r="BV6" i="1"/>
  <c r="AB6" i="1"/>
  <c r="P12" i="6"/>
  <c r="P11" i="10"/>
  <c r="P10" i="7"/>
  <c r="Q10" i="2"/>
  <c r="P10" i="2"/>
  <c r="R9" i="2"/>
  <c r="M8" i="2"/>
  <c r="U26" i="2"/>
  <c r="K9" i="2"/>
  <c r="N8" i="2"/>
  <c r="K10" i="2"/>
  <c r="L10" i="2"/>
  <c r="S10" i="2"/>
  <c r="S26" i="2"/>
  <c r="L26" i="2"/>
  <c r="N24" i="2"/>
  <c r="O8" i="2"/>
  <c r="R26" i="2"/>
  <c r="R8" i="2"/>
  <c r="T24" i="2"/>
  <c r="O10" i="2"/>
  <c r="R24" i="2"/>
  <c r="Y28" i="1"/>
  <c r="S24" i="2"/>
  <c r="U9" i="2"/>
  <c r="S8" i="2"/>
  <c r="T26" i="2"/>
  <c r="U8" i="2"/>
  <c r="K24" i="2"/>
  <c r="N9" i="2"/>
  <c r="K8" i="2"/>
  <c r="L9" i="2"/>
  <c r="N26" i="2"/>
  <c r="T10" i="2"/>
  <c r="U24" i="2"/>
  <c r="Q9" i="2"/>
  <c r="P9" i="2"/>
  <c r="Q8" i="2"/>
  <c r="P8" i="2"/>
  <c r="Q26" i="2"/>
  <c r="P26" i="2"/>
  <c r="M24" i="2"/>
  <c r="L24" i="2"/>
  <c r="L8" i="2"/>
  <c r="T9" i="2"/>
  <c r="Q24" i="2"/>
  <c r="P24" i="2"/>
  <c r="S9" i="2"/>
  <c r="M10" i="2"/>
  <c r="O9" i="2"/>
  <c r="M26" i="2"/>
  <c r="O24" i="2"/>
  <c r="R10" i="2"/>
  <c r="K26" i="2"/>
  <c r="M9" i="2"/>
  <c r="T8" i="2"/>
  <c r="N10" i="2"/>
  <c r="U10" i="2"/>
  <c r="O26" i="2"/>
  <c r="W29" i="1"/>
  <c r="X29" i="1"/>
  <c r="V30" i="1"/>
  <c r="U30" i="1"/>
  <c r="AA29" i="1"/>
  <c r="P28" i="1"/>
  <c r="S32" i="1"/>
  <c r="P29" i="1"/>
  <c r="T29" i="1"/>
  <c r="S30" i="1"/>
  <c r="Q28" i="1"/>
  <c r="Y31" i="1"/>
  <c r="AA32" i="1"/>
  <c r="P31" i="1"/>
  <c r="Q29" i="1"/>
  <c r="T28" i="1"/>
  <c r="AA31" i="1"/>
  <c r="S31" i="1"/>
  <c r="S29" i="1"/>
  <c r="W28" i="1"/>
  <c r="T31" i="1"/>
  <c r="O31" i="1"/>
  <c r="O32" i="1"/>
  <c r="X32" i="1"/>
  <c r="O28" i="1"/>
  <c r="X30" i="1"/>
  <c r="V31" i="1"/>
  <c r="U31" i="1"/>
  <c r="AA30" i="1"/>
  <c r="R28" i="1"/>
  <c r="Z31" i="1"/>
  <c r="Q30" i="1"/>
  <c r="R31" i="1"/>
  <c r="V32" i="1"/>
  <c r="U32" i="1"/>
  <c r="AA28" i="1"/>
  <c r="R29" i="1"/>
  <c r="X28" i="1"/>
  <c r="V29" i="1"/>
  <c r="U29" i="1"/>
  <c r="O30" i="1"/>
  <c r="R32" i="1"/>
  <c r="P32" i="1"/>
  <c r="P30" i="1"/>
  <c r="T32" i="1"/>
  <c r="Z32" i="1"/>
  <c r="Q32" i="1"/>
  <c r="R30" i="1"/>
  <c r="Y29" i="1"/>
  <c r="T30" i="1"/>
  <c r="Y30" i="1"/>
  <c r="Z30" i="1"/>
  <c r="W31" i="1"/>
  <c r="V28" i="1"/>
  <c r="U28" i="1"/>
  <c r="W32" i="1"/>
  <c r="S28" i="1"/>
  <c r="Y32" i="1"/>
  <c r="Z29" i="1"/>
  <c r="Q31" i="1"/>
  <c r="X31" i="1"/>
  <c r="Z28" i="1"/>
  <c r="O29" i="1"/>
  <c r="W30" i="1"/>
</calcChain>
</file>

<file path=xl/sharedStrings.xml><?xml version="1.0" encoding="utf-8"?>
<sst xmlns="http://schemas.openxmlformats.org/spreadsheetml/2006/main" count="708" uniqueCount="256">
  <si>
    <t>Grup</t>
  </si>
  <si>
    <t>A</t>
  </si>
  <si>
    <t>ARM</t>
  </si>
  <si>
    <t>AZE</t>
  </si>
  <si>
    <t>BEL</t>
  </si>
  <si>
    <t>FIN</t>
  </si>
  <si>
    <t>KAZ</t>
  </si>
  <si>
    <t>POL</t>
  </si>
  <si>
    <t>POR</t>
  </si>
  <si>
    <t>SER</t>
  </si>
  <si>
    <t>P</t>
  </si>
  <si>
    <t>G</t>
  </si>
  <si>
    <t>B</t>
  </si>
  <si>
    <t>M</t>
  </si>
  <si>
    <t>Y</t>
  </si>
  <si>
    <t>AG</t>
  </si>
  <si>
    <t>p</t>
  </si>
  <si>
    <t>a</t>
  </si>
  <si>
    <t>y</t>
  </si>
  <si>
    <t>t</t>
  </si>
  <si>
    <t>ag</t>
  </si>
  <si>
    <t>SIRA</t>
  </si>
  <si>
    <t>Beraberliklerde</t>
  </si>
  <si>
    <t>Tüm maçlarda alınan puanlar</t>
  </si>
  <si>
    <t>Berabere takımların maçlarındaki puanlar</t>
  </si>
  <si>
    <t>Berabere takımların maçlarındaki gol farkı</t>
  </si>
  <si>
    <t>Berabere takımların maçlarındaki gol sayısı</t>
  </si>
  <si>
    <t>Berabere takımların maçlarındaki deplasman gol sayısı</t>
  </si>
  <si>
    <t>Beraberlik bozulan takım varsa, kalanlar için</t>
  </si>
  <si>
    <t>kural 1-5 yeniden uygulanır</t>
  </si>
  <si>
    <t>Tüm maçlarda gol farkı</t>
  </si>
  <si>
    <t>Tüm maçlarda gol sayısı</t>
  </si>
  <si>
    <t>Tüm maçlarda deplasman gol sayısı</t>
  </si>
  <si>
    <t>Fair play</t>
  </si>
  <si>
    <t>Kura</t>
  </si>
  <si>
    <t>DA</t>
  </si>
  <si>
    <t>O</t>
  </si>
  <si>
    <t>Finaller</t>
  </si>
  <si>
    <t>GRUP AŞAMASI</t>
  </si>
  <si>
    <t>Eşitlik</t>
  </si>
  <si>
    <t>CR</t>
  </si>
  <si>
    <t>E</t>
  </si>
  <si>
    <t>F</t>
  </si>
  <si>
    <t>f</t>
  </si>
  <si>
    <t>.</t>
  </si>
  <si>
    <t>C</t>
  </si>
  <si>
    <t>D</t>
  </si>
  <si>
    <t>GRUP PUANLAMA SİSTEMİ</t>
  </si>
  <si>
    <t>SEZAİ ŞAHİN</t>
  </si>
  <si>
    <t>TOKAT ÖĞRETMENEVİ
1-25 MAYIS 2006 BAHAR KUPASI
HALI SAHA FUTBOL TURNUVASI  FİKSTÜRÜ</t>
  </si>
  <si>
    <t>FİNAL</t>
  </si>
  <si>
    <t>ÇEYREK FİNAL</t>
  </si>
  <si>
    <t>YARI FİNAL</t>
  </si>
  <si>
    <t>A1</t>
  </si>
  <si>
    <t>E1</t>
  </si>
  <si>
    <t>B1</t>
  </si>
  <si>
    <t>EN1</t>
  </si>
  <si>
    <t>C1</t>
  </si>
  <si>
    <t>F1</t>
  </si>
  <si>
    <t>D1</t>
  </si>
  <si>
    <t>EN2</t>
  </si>
  <si>
    <t>3.LÜK MAÇI</t>
  </si>
  <si>
    <t>GRUP   A</t>
  </si>
  <si>
    <t>GRUP   D</t>
  </si>
  <si>
    <t>1.hafta</t>
  </si>
  <si>
    <t>Tarih -  Baş. Saati</t>
  </si>
  <si>
    <t>2.hafta</t>
  </si>
  <si>
    <t>3.hafta</t>
  </si>
  <si>
    <t>GRUP   B</t>
  </si>
  <si>
    <t>GRUP   E</t>
  </si>
  <si>
    <t>GRUP   C</t>
  </si>
  <si>
    <t>GRUP   F</t>
  </si>
  <si>
    <t xml:space="preserve">                                      </t>
  </si>
  <si>
    <t>ÖDÜLLÜR:</t>
  </si>
  <si>
    <t>1.</t>
  </si>
  <si>
    <t>4 ÇEYREK ALTIN + KUPA</t>
  </si>
  <si>
    <t>2.</t>
  </si>
  <si>
    <t>3 ÇEYREK ALTIN + KUPA</t>
  </si>
  <si>
    <t>3.</t>
  </si>
  <si>
    <t>2 ÇEYREK ALTIN + KUPA</t>
  </si>
  <si>
    <t>© TOKAT ÖĞRETMENEVİ MÜDÜRLÜĞÜ  -  2006</t>
  </si>
  <si>
    <t>BAHAR KUPASI
 Fikstür ve Puan Cetveli</t>
  </si>
  <si>
    <t xml:space="preserve"> B GRUBU</t>
  </si>
  <si>
    <t>-</t>
  </si>
  <si>
    <t>Av</t>
  </si>
  <si>
    <t xml:space="preserve"> C GRUBU</t>
  </si>
  <si>
    <t xml:space="preserve"> D GRUBU</t>
  </si>
  <si>
    <t xml:space="preserve"> E GRUBU</t>
  </si>
  <si>
    <t xml:space="preserve"> F GRUBU</t>
  </si>
  <si>
    <t>A2</t>
  </si>
  <si>
    <t>B2</t>
  </si>
  <si>
    <t>C2</t>
  </si>
  <si>
    <t>D2</t>
  </si>
  <si>
    <t>E2</t>
  </si>
  <si>
    <t>F2</t>
  </si>
  <si>
    <t>A3</t>
  </si>
  <si>
    <t>B3</t>
  </si>
  <si>
    <t>C3</t>
  </si>
  <si>
    <t>D3</t>
  </si>
  <si>
    <t>E3</t>
  </si>
  <si>
    <t>F3</t>
  </si>
  <si>
    <t>A4</t>
  </si>
  <si>
    <t>B4</t>
  </si>
  <si>
    <t>C4</t>
  </si>
  <si>
    <t>D4</t>
  </si>
  <si>
    <t>E4</t>
  </si>
  <si>
    <t>F4</t>
  </si>
  <si>
    <t>SPONSORLARIMIZ:</t>
  </si>
  <si>
    <t>1-ANA SPONSOR                    COCA  COLA</t>
  </si>
  <si>
    <t>2-A.T.M BİLGİSAYAR</t>
  </si>
  <si>
    <t>3-TOPÇAM KÜP ŞEKER</t>
  </si>
  <si>
    <t>5-TUNÇ PERDE</t>
  </si>
  <si>
    <t>6-AZİMLİ GIDA</t>
  </si>
  <si>
    <t>7-CAN MAATBASI</t>
  </si>
  <si>
    <t>8-SERA ÇİÇEKCİLİK</t>
  </si>
  <si>
    <t>9-AYGÜNLER PETROL</t>
  </si>
  <si>
    <t>10-AYIK TİCARET</t>
  </si>
  <si>
    <t>11-FOTO MERKEZ</t>
  </si>
  <si>
    <t>12-İLHAMOĞLU TİCARET</t>
  </si>
  <si>
    <t>13-BALLICA RESTAURANT</t>
  </si>
  <si>
    <t>14-MENDERESLER GIDA</t>
  </si>
  <si>
    <t>15-AYDIN TİCARET</t>
  </si>
  <si>
    <t>BURÇAK PASTANESİ</t>
  </si>
  <si>
    <t>ADİDAS</t>
  </si>
  <si>
    <t>HALISAHA FUTBOL TURNUVASINDA KATILIM PAYI VEREN OKULLARIMIZ</t>
  </si>
  <si>
    <t>S.NO:</t>
  </si>
  <si>
    <t>OKULUN ADI</t>
  </si>
  <si>
    <t>TESLİM EDEN</t>
  </si>
  <si>
    <t>TESLİM ALAN</t>
  </si>
  <si>
    <t>MİKTARI</t>
  </si>
  <si>
    <t>TESLİM TARİHİ</t>
  </si>
  <si>
    <t>Çat İ.Ö.O.</t>
  </si>
  <si>
    <t>A.YILMAZ</t>
  </si>
  <si>
    <t>Yeşilırmak İ.Ö.O</t>
  </si>
  <si>
    <t>Ali YILDIRIM</t>
  </si>
  <si>
    <t>Alparslan İ.Ö.O</t>
  </si>
  <si>
    <t>Hasan DUYUM</t>
  </si>
  <si>
    <t>Dökmetepe Ali şevki YİBO</t>
  </si>
  <si>
    <t>Celal YILDIZ</t>
  </si>
  <si>
    <t>GOP Lisesi</t>
  </si>
  <si>
    <t>Hakan CANTEMUR</t>
  </si>
  <si>
    <t>Ali Osman Tepe Kardeş.İ.Ö.O.</t>
  </si>
  <si>
    <t>Ahmet KILIÇ</t>
  </si>
  <si>
    <t>Plevne Lisesi</t>
  </si>
  <si>
    <t>Durmuş SEZGİN</t>
  </si>
  <si>
    <t>A.GÜRBÜZ</t>
  </si>
  <si>
    <t>Bedestenlioğlu İ.Ö.O</t>
  </si>
  <si>
    <t>Muammet YILMAZ</t>
  </si>
  <si>
    <t>M.AVCI</t>
  </si>
  <si>
    <t>Endüs. Meslek Lisesi</t>
  </si>
  <si>
    <t>Saygı ÇETİN</t>
  </si>
  <si>
    <t>Cumhuriyet Lisesi</t>
  </si>
  <si>
    <t>Ümit AYBEK</t>
  </si>
  <si>
    <t>YAZIBAĞI Ş.Abdullah Özer İ.Ö.O.</t>
  </si>
  <si>
    <t>Hüseyin KÖSE</t>
  </si>
  <si>
    <t>Milli Eğitim Müdürlüğü</t>
  </si>
  <si>
    <t>Ahmet YILMAZ</t>
  </si>
  <si>
    <t>Odalar Ve Borsalar İ.Ö.O</t>
  </si>
  <si>
    <t>Hüseyi POLAT</t>
  </si>
  <si>
    <t>Yavuz Selim İ.Ö.O</t>
  </si>
  <si>
    <t>M.Özgür BİLGE</t>
  </si>
  <si>
    <t>İbni Kemal İ.Ö.O</t>
  </si>
  <si>
    <t>VeyselTAŞOVA</t>
  </si>
  <si>
    <t>M.A.Ersoy Lisesi</t>
  </si>
  <si>
    <t>Kamil ÖZER</t>
  </si>
  <si>
    <t>Fatih İ.Ö.O.</t>
  </si>
  <si>
    <t>Celal GÜNEY</t>
  </si>
  <si>
    <t>Gazipaşa İ.Ö.O.</t>
  </si>
  <si>
    <t>D.SERASLAN</t>
  </si>
  <si>
    <t>Akbelen İ.Ö.O.</t>
  </si>
  <si>
    <t>Gülbahar Hatun İ.Ö.O.</t>
  </si>
  <si>
    <t>REMZİ ŞAHİN</t>
  </si>
  <si>
    <t>100. Yıl İ.Ö.O.</t>
  </si>
  <si>
    <t>YILMAZ</t>
  </si>
  <si>
    <t>Çerçi -Kızılköy İ.Ö.O.</t>
  </si>
  <si>
    <t>SABRİ DOĞU</t>
  </si>
  <si>
    <t>Ortaköy İÖO</t>
  </si>
  <si>
    <t>MURAT CİVAN</t>
  </si>
  <si>
    <t>Cumhuriyet İÖ.O.</t>
  </si>
  <si>
    <t>Namık Kemal İ.Ö.O.</t>
  </si>
  <si>
    <t>TOPLAM=</t>
  </si>
  <si>
    <t>Karşılıklı P</t>
  </si>
  <si>
    <t>Karşılıklı AV</t>
  </si>
  <si>
    <t>Genel AV</t>
  </si>
  <si>
    <t>İç G</t>
  </si>
  <si>
    <t>Dış G</t>
  </si>
  <si>
    <t>Eşit P</t>
  </si>
  <si>
    <t>Karşılılı P</t>
  </si>
  <si>
    <t>Karşılıklı Avj</t>
  </si>
  <si>
    <t>Karşılıklı Dış Gol</t>
  </si>
  <si>
    <t>ALPARSLAN İÖO</t>
  </si>
  <si>
    <t>BEDESTENLİOĞLU İÖO</t>
  </si>
  <si>
    <t>ÇERÇİ İÖO</t>
  </si>
  <si>
    <t>BİLİM SANAT MERKEZİ</t>
  </si>
  <si>
    <t>100. YIL  İÖO</t>
  </si>
  <si>
    <t>YAVUZ SELİM İÖO</t>
  </si>
  <si>
    <t>NAMIK KEMAL İÖO</t>
  </si>
  <si>
    <t>MİLLİ EĞT. MÜD.</t>
  </si>
  <si>
    <t>TİCARET MES. LİSESİ</t>
  </si>
  <si>
    <t>İBNİ SİNA İÖO</t>
  </si>
  <si>
    <t>AKBELEN İÖO</t>
  </si>
  <si>
    <t>İ.H.LİSESİ</t>
  </si>
  <si>
    <t>m</t>
  </si>
  <si>
    <t>MÜFTÜLÜK</t>
  </si>
  <si>
    <t>ADLİYE</t>
  </si>
  <si>
    <t>A.S.P. 1</t>
  </si>
  <si>
    <t>BARO</t>
  </si>
  <si>
    <t>PAZAR  İLÇE  MEM.</t>
  </si>
  <si>
    <t>MİLLİ EĞİTİM 100. YIL</t>
  </si>
  <si>
    <t>AĞIZ VE DİŞ SAĞLIĞI</t>
  </si>
  <si>
    <t>CEZAEVİ</t>
  </si>
  <si>
    <t>SAĞLIK İL MÜDÜRLÜĞÜ</t>
  </si>
  <si>
    <t>ASAYİŞ</t>
  </si>
  <si>
    <t>A.S.P. 2</t>
  </si>
  <si>
    <t>MEM.  VETERAN</t>
  </si>
  <si>
    <t>DEFTARDARLIK</t>
  </si>
  <si>
    <t>AFAD</t>
  </si>
  <si>
    <t>GENÇLİKSPOR</t>
  </si>
  <si>
    <t>ÖZEL  HAREKAT</t>
  </si>
  <si>
    <t>VAKIFLAR</t>
  </si>
  <si>
    <t>İL ÖZEL İDARE</t>
  </si>
  <si>
    <t>KADASTRO</t>
  </si>
  <si>
    <t>DEVLET HASTANESİ</t>
  </si>
  <si>
    <t xml:space="preserve">ADLİYE </t>
  </si>
  <si>
    <t>ASP1</t>
  </si>
  <si>
    <t>PAZAR MEM</t>
  </si>
  <si>
    <t>MEM 100.YIL</t>
  </si>
  <si>
    <t>AĞIZ DİŞ SAĞLIĞI</t>
  </si>
  <si>
    <t>SAĞLIK İL MÜD.</t>
  </si>
  <si>
    <t>SAĞLIK İL.MÜD.</t>
  </si>
  <si>
    <t>ASP2</t>
  </si>
  <si>
    <t>MEM VETERANLAR</t>
  </si>
  <si>
    <t>DEFTERDARLIK</t>
  </si>
  <si>
    <t>GENÇLİK SPOR</t>
  </si>
  <si>
    <t>ÖZEL HAREKAT</t>
  </si>
  <si>
    <t>ÖZEL İDARE</t>
  </si>
  <si>
    <t>CUMHURİYETİMİZİN 100.YILI KUTLAMA ETKİNLİKLERİ KURUMLARARASI FUTBOL TURNUVASI FİKSTÜRÜ</t>
  </si>
  <si>
    <t xml:space="preserve">7 Ekim 2023 Cumartesi </t>
  </si>
  <si>
    <t>14.00</t>
  </si>
  <si>
    <t>8 Ekim  2023 Pazar</t>
  </si>
  <si>
    <t>13.00</t>
  </si>
  <si>
    <t>8 Ekim 2023 Pazar</t>
  </si>
  <si>
    <t>9 Ekim 2023 Pazartesi</t>
  </si>
  <si>
    <t>16.00</t>
  </si>
  <si>
    <t>17.00</t>
  </si>
  <si>
    <t>10 Ekim 2023 Salı</t>
  </si>
  <si>
    <t>11.Ekim.2023 Çarşamba</t>
  </si>
  <si>
    <t>15 EKİM 2023 Pazar</t>
  </si>
  <si>
    <t>16 EKİM 2023 Pazartesi</t>
  </si>
  <si>
    <t>17 EKİM 2023 Salı</t>
  </si>
  <si>
    <t>18 EKİM 2023 çarsamba</t>
  </si>
  <si>
    <t>19 EKİM  2023 Perşembe</t>
  </si>
  <si>
    <t>20 ekim 2023 Cuma</t>
  </si>
  <si>
    <t>21 ekim 2023 Cumartesi</t>
  </si>
  <si>
    <t>12.00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</si>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</sst>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;@"/>
    <numFmt numFmtId="165" formatCode="dddd&quot;, &quot;mmmm\ dd&quot;, &quot;yyyy"/>
    <numFmt numFmtId="166" formatCode="d\-mmm;@"/>
    <numFmt numFmtId="167" formatCode="dd\/mm\/yy\ hh:mm"/>
    <numFmt numFmtId="168" formatCode="d\ mmmm\ yyyy\ h:mm;@"/>
    <numFmt numFmtId="169" formatCode="dd\/mm\/yyyy"/>
    <numFmt numFmtId="170" formatCode="\+#0;\-#0"/>
    <numFmt numFmtId="171" formatCode="[$-F800]dddd\,\ mmmm\ dd\,\ yyyy"/>
  </numFmts>
  <fonts count="77" x14ac:knownFonts="1"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Verdana"/>
      <family val="2"/>
      <charset val="162"/>
    </font>
    <font>
      <b/>
      <sz val="10"/>
      <color indexed="25"/>
      <name val="Verdana"/>
      <family val="2"/>
      <charset val="162"/>
    </font>
    <font>
      <sz val="72"/>
      <color indexed="25"/>
      <name val="Verdana"/>
      <family val="2"/>
      <charset val="162"/>
    </font>
    <font>
      <b/>
      <sz val="10"/>
      <name val="Verdana"/>
      <family val="2"/>
      <charset val="162"/>
    </font>
    <font>
      <b/>
      <sz val="18"/>
      <name val="Verdana"/>
      <family val="2"/>
      <charset val="162"/>
    </font>
    <font>
      <b/>
      <sz val="72"/>
      <name val="Tahoma"/>
      <family val="2"/>
      <charset val="162"/>
    </font>
    <font>
      <b/>
      <sz val="18"/>
      <name val="Tahoma"/>
      <family val="2"/>
      <charset val="162"/>
    </font>
    <font>
      <sz val="18"/>
      <name val="Arial"/>
      <family val="2"/>
      <charset val="162"/>
    </font>
    <font>
      <b/>
      <sz val="72"/>
      <color indexed="12"/>
      <name val="Verdana"/>
      <family val="2"/>
      <charset val="162"/>
    </font>
    <font>
      <b/>
      <sz val="12"/>
      <name val="Tahoma"/>
      <family val="2"/>
      <charset val="162"/>
    </font>
    <font>
      <b/>
      <sz val="22"/>
      <color indexed="9"/>
      <name val="Tahoma"/>
      <family val="2"/>
      <charset val="162"/>
    </font>
    <font>
      <b/>
      <sz val="17"/>
      <name val="Tahoma"/>
      <family val="2"/>
      <charset val="162"/>
    </font>
    <font>
      <b/>
      <sz val="72"/>
      <color indexed="12"/>
      <name val="Tahoma"/>
      <family val="2"/>
      <charset val="162"/>
    </font>
    <font>
      <b/>
      <sz val="24"/>
      <name val="Verdana"/>
      <family val="2"/>
      <charset val="162"/>
    </font>
    <font>
      <b/>
      <sz val="48"/>
      <color indexed="12"/>
      <name val="Tahoma"/>
      <family val="2"/>
      <charset val="162"/>
    </font>
    <font>
      <b/>
      <sz val="18"/>
      <color indexed="12"/>
      <name val="Verdana"/>
      <family val="2"/>
      <charset val="162"/>
    </font>
    <font>
      <b/>
      <sz val="10"/>
      <color indexed="9"/>
      <name val="Tahoma"/>
      <family val="2"/>
      <charset val="162"/>
    </font>
    <font>
      <b/>
      <sz val="12"/>
      <color indexed="9"/>
      <name val="Tahoma"/>
      <family val="2"/>
      <charset val="162"/>
    </font>
    <font>
      <b/>
      <sz val="10"/>
      <color indexed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8"/>
      <color indexed="8"/>
      <name val="Tahoma"/>
      <family val="2"/>
      <charset val="162"/>
    </font>
    <font>
      <sz val="11"/>
      <color indexed="17"/>
      <name val="Calibri"/>
      <family val="2"/>
      <charset val="162"/>
    </font>
    <font>
      <b/>
      <sz val="18"/>
      <color indexed="8"/>
      <name val="Verdana"/>
      <family val="2"/>
      <charset val="162"/>
    </font>
    <font>
      <b/>
      <sz val="8"/>
      <color indexed="8"/>
      <name val="Verdana"/>
      <family val="2"/>
      <charset val="162"/>
    </font>
    <font>
      <b/>
      <sz val="18"/>
      <color indexed="9"/>
      <name val="Tahoma"/>
      <family val="2"/>
      <charset val="162"/>
    </font>
    <font>
      <b/>
      <sz val="18"/>
      <name val="Arial"/>
      <family val="2"/>
      <charset val="162"/>
    </font>
    <font>
      <b/>
      <sz val="72"/>
      <color indexed="9"/>
      <name val="Tahoma"/>
      <family val="2"/>
      <charset val="162"/>
    </font>
    <font>
      <b/>
      <sz val="12"/>
      <name val="Verdana"/>
      <family val="2"/>
      <charset val="162"/>
    </font>
    <font>
      <b/>
      <sz val="12"/>
      <color indexed="12"/>
      <name val="Verdana"/>
      <family val="2"/>
      <charset val="162"/>
    </font>
    <font>
      <sz val="14"/>
      <name val="Arial"/>
      <family val="2"/>
      <charset val="162"/>
    </font>
    <font>
      <b/>
      <sz val="16"/>
      <color indexed="9"/>
      <name val="Tahoma"/>
      <family val="2"/>
      <charset val="162"/>
    </font>
    <font>
      <b/>
      <sz val="10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0"/>
      <color indexed="9"/>
      <name val="Arial"/>
      <family val="2"/>
      <charset val="162"/>
    </font>
    <font>
      <b/>
      <sz val="7"/>
      <name val="Tahoma"/>
      <family val="2"/>
      <charset val="162"/>
    </font>
    <font>
      <b/>
      <sz val="7"/>
      <color indexed="10"/>
      <name val="Tahoma"/>
      <family val="2"/>
      <charset val="162"/>
    </font>
    <font>
      <b/>
      <sz val="7"/>
      <color indexed="9"/>
      <name val="Tahoma"/>
      <family val="2"/>
      <charset val="162"/>
    </font>
    <font>
      <b/>
      <i/>
      <sz val="7"/>
      <color indexed="10"/>
      <name val="Tahoma"/>
      <family val="2"/>
      <charset val="162"/>
    </font>
    <font>
      <b/>
      <i/>
      <sz val="7"/>
      <name val="Tahoma"/>
      <family val="2"/>
      <charset val="162"/>
    </font>
    <font>
      <b/>
      <sz val="7"/>
      <color indexed="55"/>
      <name val="Tahoma"/>
      <family val="2"/>
      <charset val="162"/>
    </font>
    <font>
      <u/>
      <sz val="10"/>
      <color indexed="12"/>
      <name val="Arial"/>
      <family val="2"/>
      <charset val="162"/>
    </font>
    <font>
      <b/>
      <i/>
      <u/>
      <sz val="7"/>
      <color indexed="9"/>
      <name val="Tahoma"/>
      <family val="2"/>
      <charset val="162"/>
    </font>
    <font>
      <b/>
      <sz val="7"/>
      <color indexed="60"/>
      <name val="Tahoma"/>
      <family val="2"/>
      <charset val="162"/>
    </font>
    <font>
      <b/>
      <sz val="10"/>
      <name val="Tahoma"/>
      <family val="2"/>
      <charset val="162"/>
    </font>
    <font>
      <sz val="12"/>
      <name val="Arial"/>
      <family val="2"/>
      <charset val="162"/>
    </font>
    <font>
      <sz val="12"/>
      <color indexed="17"/>
      <name val="Arial"/>
      <family val="2"/>
      <charset val="162"/>
    </font>
    <font>
      <sz val="24"/>
      <color indexed="9"/>
      <name val="Verdana"/>
      <family val="2"/>
      <charset val="162"/>
    </font>
    <font>
      <b/>
      <sz val="24"/>
      <color indexed="9"/>
      <name val="Arial"/>
      <family val="2"/>
      <charset val="162"/>
    </font>
    <font>
      <b/>
      <sz val="24"/>
      <name val="Arial"/>
      <family val="2"/>
      <charset val="162"/>
    </font>
    <font>
      <b/>
      <sz val="24"/>
      <color indexed="17"/>
      <name val="Arial"/>
      <family val="2"/>
      <charset val="162"/>
    </font>
    <font>
      <b/>
      <sz val="9"/>
      <color indexed="9"/>
      <name val="Tahoma"/>
      <family val="2"/>
      <charset val="162"/>
    </font>
    <font>
      <b/>
      <sz val="9"/>
      <color indexed="55"/>
      <name val="Tahoma"/>
      <family val="2"/>
      <charset val="162"/>
    </font>
    <font>
      <b/>
      <i/>
      <u/>
      <sz val="9"/>
      <color indexed="9"/>
      <name val="Tahoma"/>
      <family val="2"/>
      <charset val="162"/>
    </font>
    <font>
      <sz val="9"/>
      <name val="Tahoma"/>
      <family val="2"/>
      <charset val="162"/>
    </font>
    <font>
      <sz val="9"/>
      <color indexed="17"/>
      <name val="Tahoma"/>
      <family val="2"/>
      <charset val="162"/>
    </font>
    <font>
      <b/>
      <sz val="9"/>
      <name val="Tahoma"/>
      <family val="2"/>
      <charset val="162"/>
    </font>
    <font>
      <b/>
      <i/>
      <u/>
      <sz val="9"/>
      <color indexed="13"/>
      <name val="Tahoma"/>
      <family val="2"/>
      <charset val="162"/>
    </font>
    <font>
      <b/>
      <i/>
      <sz val="9"/>
      <color indexed="9"/>
      <name val="Tahoma"/>
      <family val="2"/>
      <charset val="162"/>
    </font>
    <font>
      <i/>
      <sz val="9"/>
      <color indexed="9"/>
      <name val="Tahoma"/>
      <family val="2"/>
      <charset val="162"/>
    </font>
    <font>
      <i/>
      <sz val="9"/>
      <color indexed="17"/>
      <name val="Tahoma"/>
      <family val="2"/>
      <charset val="162"/>
    </font>
    <font>
      <b/>
      <sz val="9"/>
      <color indexed="17"/>
      <name val="Tahoma"/>
      <family val="2"/>
      <charset val="162"/>
    </font>
    <font>
      <b/>
      <sz val="9"/>
      <color indexed="12"/>
      <name val="Tahoma"/>
      <family val="2"/>
      <charset val="162"/>
    </font>
    <font>
      <sz val="9"/>
      <color indexed="55"/>
      <name val="Tahoma"/>
      <family val="2"/>
      <charset val="162"/>
    </font>
    <font>
      <sz val="9"/>
      <color indexed="10"/>
      <name val="Tahoma"/>
      <family val="2"/>
      <charset val="162"/>
    </font>
    <font>
      <sz val="9"/>
      <color indexed="9"/>
      <name val="Tahoma"/>
      <family val="2"/>
      <charset val="162"/>
    </font>
    <font>
      <b/>
      <sz val="9"/>
      <color indexed="10"/>
      <name val="Tahoma"/>
      <family val="2"/>
      <charset val="162"/>
    </font>
    <font>
      <b/>
      <sz val="11"/>
      <name val="Verdana"/>
      <family val="2"/>
      <charset val="162"/>
    </font>
    <font>
      <b/>
      <sz val="14"/>
      <name val="Verdana"/>
      <family val="2"/>
      <charset val="162"/>
    </font>
    <font>
      <sz val="60"/>
      <name val="Arial"/>
      <family val="2"/>
      <charset val="162"/>
    </font>
    <font>
      <sz val="20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b/>
      <sz val="12"/>
      <name val="Arial"/>
      <family val="2"/>
      <charset val="162"/>
    </font>
    <font>
      <i/>
      <sz val="10"/>
      <color indexed="23"/>
      <name val="Arial"/>
      <family val="2"/>
      <charset val="162"/>
    </font>
    <font>
      <sz val="10"/>
      <color indexed="23"/>
      <name val="Arial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0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18"/>
        <bgColor indexed="32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404">
    <xf numFmtId="0" fontId="0" fillId="0" borderId="0" xfId="0"/>
    <xf numFmtId="0" fontId="2" fillId="3" borderId="0" xfId="4" applyFill="1"/>
    <xf numFmtId="164" fontId="2" fillId="3" borderId="0" xfId="4" applyNumberFormat="1" applyFill="1"/>
    <xf numFmtId="0" fontId="2" fillId="3" borderId="0" xfId="4" applyFill="1" applyAlignment="1">
      <alignment horizontal="center"/>
    </xf>
    <xf numFmtId="0" fontId="2" fillId="3" borderId="0" xfId="4" applyFill="1" applyAlignment="1">
      <alignment horizontal="right"/>
    </xf>
    <xf numFmtId="164" fontId="2" fillId="3" borderId="1" xfId="4" applyNumberFormat="1" applyFill="1" applyBorder="1" applyAlignment="1">
      <alignment vertical="top"/>
    </xf>
    <xf numFmtId="0" fontId="2" fillId="3" borderId="2" xfId="4" applyFill="1" applyBorder="1" applyAlignment="1">
      <alignment horizontal="right" vertical="top"/>
    </xf>
    <xf numFmtId="0" fontId="2" fillId="3" borderId="3" xfId="4" applyFill="1" applyBorder="1" applyAlignment="1">
      <alignment horizontal="center" vertical="top"/>
    </xf>
    <xf numFmtId="0" fontId="2" fillId="3" borderId="3" xfId="4" applyFill="1" applyBorder="1" applyAlignment="1">
      <alignment vertical="top"/>
    </xf>
    <xf numFmtId="0" fontId="2" fillId="3" borderId="0" xfId="4" applyFill="1" applyAlignment="1">
      <alignment vertical="top"/>
    </xf>
    <xf numFmtId="0" fontId="2" fillId="3" borderId="0" xfId="4" applyFill="1" applyAlignment="1">
      <alignment horizontal="center" vertical="top"/>
    </xf>
    <xf numFmtId="0" fontId="0" fillId="0" borderId="0" xfId="0" applyAlignment="1">
      <alignment horizontal="center"/>
    </xf>
    <xf numFmtId="164" fontId="2" fillId="3" borderId="4" xfId="4" applyNumberFormat="1" applyFill="1" applyBorder="1" applyAlignment="1">
      <alignment vertical="top"/>
    </xf>
    <xf numFmtId="164" fontId="2" fillId="3" borderId="5" xfId="4" applyNumberFormat="1" applyFill="1" applyBorder="1" applyAlignment="1">
      <alignment vertical="top"/>
    </xf>
    <xf numFmtId="0" fontId="2" fillId="3" borderId="6" xfId="4" applyFill="1" applyBorder="1"/>
    <xf numFmtId="0" fontId="2" fillId="3" borderId="7" xfId="4" applyFill="1" applyBorder="1"/>
    <xf numFmtId="164" fontId="2" fillId="3" borderId="8" xfId="4" applyNumberFormat="1" applyFill="1" applyBorder="1" applyAlignment="1">
      <alignment vertical="top"/>
    </xf>
    <xf numFmtId="0" fontId="2" fillId="3" borderId="9" xfId="4" applyFill="1" applyBorder="1" applyAlignment="1">
      <alignment vertical="top"/>
    </xf>
    <xf numFmtId="0" fontId="2" fillId="3" borderId="10" xfId="4" applyFill="1" applyBorder="1" applyAlignment="1">
      <alignment horizontal="right" vertical="top"/>
    </xf>
    <xf numFmtId="0" fontId="2" fillId="3" borderId="11" xfId="4" applyFill="1" applyBorder="1" applyAlignment="1">
      <alignment vertical="top"/>
    </xf>
    <xf numFmtId="0" fontId="2" fillId="3" borderId="0" xfId="4" applyFill="1" applyAlignment="1">
      <alignment horizontal="right" vertical="top"/>
    </xf>
    <xf numFmtId="0" fontId="2" fillId="3" borderId="12" xfId="4" applyFill="1" applyBorder="1" applyAlignment="1">
      <alignment vertical="top"/>
    </xf>
    <xf numFmtId="0" fontId="2" fillId="3" borderId="13" xfId="4" applyFill="1" applyBorder="1" applyAlignment="1">
      <alignment horizontal="right" vertical="top"/>
    </xf>
    <xf numFmtId="0" fontId="2" fillId="3" borderId="14" xfId="4" applyFill="1" applyBorder="1" applyAlignment="1">
      <alignment vertical="top"/>
    </xf>
    <xf numFmtId="0" fontId="5" fillId="3" borderId="0" xfId="4" applyFont="1" applyFill="1" applyAlignment="1">
      <alignment horizontal="right"/>
    </xf>
    <xf numFmtId="0" fontId="5" fillId="3" borderId="0" xfId="4" applyFont="1" applyFill="1" applyAlignment="1">
      <alignment horizontal="center"/>
    </xf>
    <xf numFmtId="0" fontId="5" fillId="3" borderId="15" xfId="4" applyFont="1" applyFill="1" applyBorder="1" applyAlignment="1">
      <alignment horizontal="right"/>
    </xf>
    <xf numFmtId="0" fontId="2" fillId="3" borderId="16" xfId="4" applyFill="1" applyBorder="1" applyAlignment="1">
      <alignment horizontal="right"/>
    </xf>
    <xf numFmtId="0" fontId="2" fillId="3" borderId="17" xfId="4" applyFill="1" applyBorder="1" applyAlignment="1">
      <alignment horizontal="right"/>
    </xf>
    <xf numFmtId="0" fontId="2" fillId="3" borderId="18" xfId="4" applyFill="1" applyBorder="1" applyAlignment="1">
      <alignment horizontal="right"/>
    </xf>
    <xf numFmtId="0" fontId="2" fillId="3" borderId="19" xfId="4" applyFill="1" applyBorder="1" applyAlignment="1">
      <alignment horizontal="right"/>
    </xf>
    <xf numFmtId="0" fontId="2" fillId="3" borderId="20" xfId="4" applyFill="1" applyBorder="1"/>
    <xf numFmtId="0" fontId="3" fillId="3" borderId="0" xfId="4" applyFont="1" applyFill="1"/>
    <xf numFmtId="0" fontId="2" fillId="3" borderId="20" xfId="4" applyFill="1" applyBorder="1" applyAlignment="1">
      <alignment horizontal="right"/>
    </xf>
    <xf numFmtId="0" fontId="5" fillId="3" borderId="21" xfId="4" applyFont="1" applyFill="1" applyBorder="1" applyAlignment="1">
      <alignment horizontal="right"/>
    </xf>
    <xf numFmtId="0" fontId="2" fillId="3" borderId="22" xfId="4" applyFill="1" applyBorder="1" applyAlignment="1">
      <alignment horizontal="right"/>
    </xf>
    <xf numFmtId="0" fontId="2" fillId="3" borderId="23" xfId="4" applyFill="1" applyBorder="1" applyAlignment="1">
      <alignment horizontal="right"/>
    </xf>
    <xf numFmtId="0" fontId="2" fillId="3" borderId="24" xfId="4" applyFill="1" applyBorder="1" applyAlignment="1">
      <alignment horizontal="right"/>
    </xf>
    <xf numFmtId="0" fontId="3" fillId="3" borderId="20" xfId="4" applyFont="1" applyFill="1" applyBorder="1"/>
    <xf numFmtId="0" fontId="5" fillId="3" borderId="25" xfId="4" applyFont="1" applyFill="1" applyBorder="1" applyAlignment="1">
      <alignment horizontal="right"/>
    </xf>
    <xf numFmtId="0" fontId="2" fillId="3" borderId="26" xfId="4" applyFill="1" applyBorder="1" applyAlignment="1">
      <alignment horizontal="right"/>
    </xf>
    <xf numFmtId="0" fontId="2" fillId="3" borderId="27" xfId="4" applyFill="1" applyBorder="1" applyAlignment="1">
      <alignment horizontal="right"/>
    </xf>
    <xf numFmtId="0" fontId="2" fillId="3" borderId="28" xfId="4" applyFill="1" applyBorder="1" applyAlignment="1">
      <alignment horizontal="right"/>
    </xf>
    <xf numFmtId="0" fontId="5" fillId="3" borderId="0" xfId="5" applyFont="1" applyFill="1"/>
    <xf numFmtId="165" fontId="6" fillId="3" borderId="0" xfId="5" applyNumberFormat="1" applyFont="1" applyFill="1" applyAlignment="1">
      <alignment horizontal="left" shrinkToFit="1"/>
    </xf>
    <xf numFmtId="0" fontId="6" fillId="3" borderId="0" xfId="5" applyFont="1" applyFill="1" applyAlignment="1">
      <alignment horizontal="center"/>
    </xf>
    <xf numFmtId="0" fontId="7" fillId="3" borderId="0" xfId="5" applyFont="1" applyFill="1"/>
    <xf numFmtId="0" fontId="8" fillId="3" borderId="0" xfId="5" applyFont="1" applyFill="1" applyAlignment="1">
      <alignment horizontal="left"/>
    </xf>
    <xf numFmtId="166" fontId="5" fillId="3" borderId="0" xfId="5" applyNumberFormat="1" applyFont="1" applyFill="1"/>
    <xf numFmtId="0" fontId="5" fillId="3" borderId="0" xfId="5" applyFont="1" applyFill="1" applyAlignment="1">
      <alignment horizontal="right"/>
    </xf>
    <xf numFmtId="0" fontId="6" fillId="3" borderId="0" xfId="5" applyFont="1" applyFill="1" applyAlignment="1">
      <alignment horizontal="left"/>
    </xf>
    <xf numFmtId="0" fontId="6" fillId="3" borderId="0" xfId="5" applyFont="1" applyFill="1"/>
    <xf numFmtId="0" fontId="5" fillId="3" borderId="0" xfId="5" applyFont="1" applyFill="1" applyProtection="1">
      <protection hidden="1"/>
    </xf>
    <xf numFmtId="0" fontId="9" fillId="0" borderId="0" xfId="0" applyFont="1"/>
    <xf numFmtId="165" fontId="6" fillId="3" borderId="0" xfId="5" applyNumberFormat="1" applyFont="1" applyFill="1" applyAlignment="1" applyProtection="1">
      <alignment horizontal="left" shrinkToFit="1"/>
      <protection hidden="1"/>
    </xf>
    <xf numFmtId="0" fontId="11" fillId="4" borderId="29" xfId="5" applyFont="1" applyFill="1" applyBorder="1" applyProtection="1">
      <protection hidden="1"/>
    </xf>
    <xf numFmtId="0" fontId="12" fillId="4" borderId="30" xfId="5" applyFont="1" applyFill="1" applyBorder="1" applyAlignment="1" applyProtection="1">
      <alignment horizontal="left"/>
      <protection hidden="1"/>
    </xf>
    <xf numFmtId="0" fontId="8" fillId="4" borderId="30" xfId="5" applyFont="1" applyFill="1" applyBorder="1" applyAlignment="1" applyProtection="1">
      <alignment horizontal="right"/>
      <protection hidden="1"/>
    </xf>
    <xf numFmtId="0" fontId="7" fillId="4" borderId="30" xfId="5" applyFont="1" applyFill="1" applyBorder="1" applyProtection="1">
      <protection hidden="1"/>
    </xf>
    <xf numFmtId="0" fontId="8" fillId="4" borderId="30" xfId="5" applyFont="1" applyFill="1" applyBorder="1" applyAlignment="1" applyProtection="1">
      <alignment horizontal="left"/>
      <protection hidden="1"/>
    </xf>
    <xf numFmtId="0" fontId="8" fillId="4" borderId="30" xfId="5" applyFont="1" applyFill="1" applyBorder="1" applyAlignment="1" applyProtection="1">
      <alignment horizontal="center"/>
      <protection hidden="1"/>
    </xf>
    <xf numFmtId="0" fontId="11" fillId="4" borderId="30" xfId="5" applyFont="1" applyFill="1" applyBorder="1" applyProtection="1">
      <protection hidden="1"/>
    </xf>
    <xf numFmtId="0" fontId="11" fillId="4" borderId="0" xfId="5" applyFont="1" applyFill="1" applyProtection="1">
      <protection hidden="1"/>
    </xf>
    <xf numFmtId="166" fontId="11" fillId="4" borderId="0" xfId="5" applyNumberFormat="1" applyFont="1" applyFill="1" applyProtection="1">
      <protection hidden="1"/>
    </xf>
    <xf numFmtId="0" fontId="11" fillId="4" borderId="0" xfId="5" applyFont="1" applyFill="1" applyAlignment="1" applyProtection="1">
      <alignment horizontal="right"/>
      <protection hidden="1"/>
    </xf>
    <xf numFmtId="0" fontId="11" fillId="4" borderId="0" xfId="5" applyFont="1" applyFill="1" applyAlignment="1" applyProtection="1">
      <alignment horizontal="center" vertical="center"/>
      <protection hidden="1"/>
    </xf>
    <xf numFmtId="0" fontId="11" fillId="4" borderId="0" xfId="5" applyFont="1" applyFill="1"/>
    <xf numFmtId="0" fontId="11" fillId="4" borderId="30" xfId="5" applyFont="1" applyFill="1" applyBorder="1"/>
    <xf numFmtId="0" fontId="8" fillId="4" borderId="30" xfId="5" applyFont="1" applyFill="1" applyBorder="1" applyAlignment="1">
      <alignment horizontal="left"/>
    </xf>
    <xf numFmtId="0" fontId="8" fillId="4" borderId="30" xfId="5" applyFont="1" applyFill="1" applyBorder="1"/>
    <xf numFmtId="0" fontId="11" fillId="4" borderId="31" xfId="5" applyFont="1" applyFill="1" applyBorder="1"/>
    <xf numFmtId="0" fontId="11" fillId="3" borderId="0" xfId="5" applyFont="1" applyFill="1"/>
    <xf numFmtId="0" fontId="5" fillId="4" borderId="32" xfId="5" applyFont="1" applyFill="1" applyBorder="1" applyProtection="1">
      <protection hidden="1"/>
    </xf>
    <xf numFmtId="20" fontId="8" fillId="3" borderId="17" xfId="5" applyNumberFormat="1" applyFont="1" applyFill="1" applyBorder="1" applyAlignment="1" applyProtection="1">
      <alignment horizontal="center"/>
      <protection hidden="1"/>
    </xf>
    <xf numFmtId="0" fontId="5" fillId="3" borderId="1" xfId="5" applyFont="1" applyFill="1" applyBorder="1" applyProtection="1">
      <protection hidden="1"/>
    </xf>
    <xf numFmtId="0" fontId="5" fillId="3" borderId="2" xfId="5" applyFont="1" applyFill="1" applyBorder="1" applyProtection="1">
      <protection hidden="1"/>
    </xf>
    <xf numFmtId="0" fontId="5" fillId="3" borderId="9" xfId="5" applyFont="1" applyFill="1" applyBorder="1" applyProtection="1">
      <protection hidden="1"/>
    </xf>
    <xf numFmtId="0" fontId="15" fillId="3" borderId="0" xfId="5" applyFont="1" applyFill="1" applyAlignment="1" applyProtection="1">
      <alignment horizontal="center" vertical="center"/>
      <protection hidden="1"/>
    </xf>
    <xf numFmtId="0" fontId="5" fillId="4" borderId="0" xfId="5" applyFont="1" applyFill="1"/>
    <xf numFmtId="0" fontId="18" fillId="4" borderId="34" xfId="0" applyFont="1" applyFill="1" applyBorder="1" applyAlignment="1">
      <alignment horizontal="center"/>
    </xf>
    <xf numFmtId="20" fontId="8" fillId="3" borderId="0" xfId="5" applyNumberFormat="1" applyFont="1" applyFill="1" applyAlignment="1" applyProtection="1">
      <alignment horizontal="center"/>
      <protection hidden="1"/>
    </xf>
    <xf numFmtId="0" fontId="5" fillId="3" borderId="35" xfId="5" applyFont="1" applyFill="1" applyBorder="1" applyAlignment="1" applyProtection="1">
      <alignment horizontal="center"/>
      <protection hidden="1"/>
    </xf>
    <xf numFmtId="0" fontId="5" fillId="3" borderId="3" xfId="5" applyFont="1" applyFill="1" applyBorder="1" applyProtection="1">
      <protection hidden="1"/>
    </xf>
    <xf numFmtId="0" fontId="19" fillId="4" borderId="34" xfId="0" applyFont="1" applyFill="1" applyBorder="1" applyAlignment="1">
      <alignment horizontal="center"/>
    </xf>
    <xf numFmtId="0" fontId="5" fillId="2" borderId="35" xfId="5" applyFont="1" applyFill="1" applyBorder="1" applyAlignment="1" applyProtection="1">
      <alignment horizontal="right" shrinkToFit="1"/>
      <protection hidden="1"/>
    </xf>
    <xf numFmtId="0" fontId="20" fillId="2" borderId="3" xfId="5" applyFont="1" applyFill="1" applyBorder="1" applyAlignment="1" applyProtection="1">
      <alignment horizontal="right"/>
      <protection hidden="1"/>
    </xf>
    <xf numFmtId="0" fontId="21" fillId="2" borderId="3" xfId="5" applyFont="1" applyFill="1" applyBorder="1" applyAlignment="1" applyProtection="1">
      <alignment horizontal="right"/>
      <protection hidden="1"/>
    </xf>
    <xf numFmtId="0" fontId="22" fillId="3" borderId="36" xfId="1" applyNumberFormat="1" applyFont="1" applyFill="1" applyBorder="1" applyAlignment="1" applyProtection="1">
      <alignment horizontal="left" shrinkToFit="1"/>
      <protection hidden="1"/>
    </xf>
    <xf numFmtId="0" fontId="18" fillId="4" borderId="34" xfId="0" applyFont="1" applyFill="1" applyBorder="1" applyAlignment="1">
      <alignment horizontal="center" wrapText="1"/>
    </xf>
    <xf numFmtId="0" fontId="5" fillId="2" borderId="3" xfId="5" applyFont="1" applyFill="1" applyBorder="1" applyAlignment="1" applyProtection="1">
      <alignment horizontal="right" shrinkToFit="1"/>
      <protection hidden="1"/>
    </xf>
    <xf numFmtId="0" fontId="8" fillId="3" borderId="37" xfId="5" applyFont="1" applyFill="1" applyBorder="1" applyAlignment="1" applyProtection="1">
      <alignment horizontal="left" shrinkToFit="1"/>
      <protection hidden="1"/>
    </xf>
    <xf numFmtId="0" fontId="25" fillId="4" borderId="34" xfId="5" applyFont="1" applyFill="1" applyBorder="1" applyAlignment="1" applyProtection="1">
      <alignment horizontal="right"/>
      <protection hidden="1"/>
    </xf>
    <xf numFmtId="0" fontId="5" fillId="3" borderId="3" xfId="5" applyFont="1" applyFill="1" applyBorder="1" applyAlignment="1" applyProtection="1">
      <alignment horizontal="right" shrinkToFit="1"/>
      <protection hidden="1"/>
    </xf>
    <xf numFmtId="0" fontId="20" fillId="3" borderId="3" xfId="5" applyFont="1" applyFill="1" applyBorder="1" applyAlignment="1" applyProtection="1">
      <alignment horizontal="right"/>
      <protection hidden="1"/>
    </xf>
    <xf numFmtId="0" fontId="21" fillId="3" borderId="3" xfId="5" applyFont="1" applyFill="1" applyBorder="1" applyAlignment="1" applyProtection="1">
      <alignment horizontal="right"/>
      <protection hidden="1"/>
    </xf>
    <xf numFmtId="0" fontId="8" fillId="0" borderId="36" xfId="1" applyNumberFormat="1" applyFont="1" applyFill="1" applyBorder="1" applyAlignment="1" applyProtection="1">
      <alignment horizontal="left" shrinkToFit="1"/>
      <protection hidden="1"/>
    </xf>
    <xf numFmtId="20" fontId="8" fillId="3" borderId="20" xfId="5" applyNumberFormat="1" applyFont="1" applyFill="1" applyBorder="1" applyAlignment="1" applyProtection="1">
      <alignment horizontal="center"/>
      <protection hidden="1"/>
    </xf>
    <xf numFmtId="0" fontId="8" fillId="3" borderId="41" xfId="5" applyFont="1" applyFill="1" applyBorder="1" applyAlignment="1" applyProtection="1">
      <alignment horizontal="left" shrinkToFit="1"/>
      <protection hidden="1"/>
    </xf>
    <xf numFmtId="0" fontId="11" fillId="4" borderId="32" xfId="5" applyFont="1" applyFill="1" applyBorder="1" applyProtection="1">
      <protection hidden="1"/>
    </xf>
    <xf numFmtId="0" fontId="26" fillId="4" borderId="0" xfId="5" applyFont="1" applyFill="1" applyAlignment="1" applyProtection="1">
      <alignment horizontal="left"/>
      <protection hidden="1"/>
    </xf>
    <xf numFmtId="0" fontId="8" fillId="4" borderId="0" xfId="5" applyFont="1" applyFill="1" applyProtection="1">
      <protection hidden="1"/>
    </xf>
    <xf numFmtId="0" fontId="7" fillId="4" borderId="0" xfId="5" applyFont="1" applyFill="1" applyProtection="1">
      <protection hidden="1"/>
    </xf>
    <xf numFmtId="0" fontId="8" fillId="4" borderId="0" xfId="5" applyFont="1" applyFill="1" applyAlignment="1" applyProtection="1">
      <alignment horizontal="left"/>
      <protection hidden="1"/>
    </xf>
    <xf numFmtId="0" fontId="8" fillId="4" borderId="0" xfId="5" applyFont="1" applyFill="1" applyAlignment="1" applyProtection="1">
      <alignment horizontal="center"/>
      <protection hidden="1"/>
    </xf>
    <xf numFmtId="0" fontId="8" fillId="4" borderId="0" xfId="5" applyFont="1" applyFill="1" applyAlignment="1">
      <alignment horizontal="left"/>
    </xf>
    <xf numFmtId="0" fontId="8" fillId="4" borderId="0" xfId="5" applyFont="1" applyFill="1"/>
    <xf numFmtId="0" fontId="11" fillId="4" borderId="34" xfId="5" applyFont="1" applyFill="1" applyBorder="1"/>
    <xf numFmtId="0" fontId="8" fillId="4" borderId="0" xfId="5" applyFont="1" applyFill="1" applyAlignment="1" applyProtection="1">
      <alignment horizontal="right"/>
      <protection hidden="1"/>
    </xf>
    <xf numFmtId="0" fontId="26" fillId="4" borderId="20" xfId="5" applyFont="1" applyFill="1" applyBorder="1" applyAlignment="1" applyProtection="1">
      <alignment horizontal="center"/>
      <protection hidden="1"/>
    </xf>
    <xf numFmtId="0" fontId="28" fillId="4" borderId="20" xfId="5" applyFont="1" applyFill="1" applyBorder="1" applyProtection="1">
      <protection hidden="1"/>
    </xf>
    <xf numFmtId="0" fontId="26" fillId="4" borderId="20" xfId="5" applyFont="1" applyFill="1" applyBorder="1" applyAlignment="1" applyProtection="1">
      <alignment horizontal="left"/>
      <protection hidden="1"/>
    </xf>
    <xf numFmtId="0" fontId="11" fillId="4" borderId="43" xfId="5" applyFont="1" applyFill="1" applyBorder="1" applyProtection="1">
      <protection hidden="1"/>
    </xf>
    <xf numFmtId="166" fontId="11" fillId="4" borderId="43" xfId="5" applyNumberFormat="1" applyFont="1" applyFill="1" applyBorder="1" applyProtection="1">
      <protection hidden="1"/>
    </xf>
    <xf numFmtId="0" fontId="11" fillId="4" borderId="43" xfId="5" applyFont="1" applyFill="1" applyBorder="1" applyAlignment="1" applyProtection="1">
      <alignment horizontal="right"/>
      <protection hidden="1"/>
    </xf>
    <xf numFmtId="0" fontId="26" fillId="4" borderId="0" xfId="5" applyFont="1" applyFill="1" applyAlignment="1">
      <alignment horizontal="left"/>
    </xf>
    <xf numFmtId="0" fontId="29" fillId="4" borderId="32" xfId="5" applyFont="1" applyFill="1" applyBorder="1" applyProtection="1">
      <protection hidden="1"/>
    </xf>
    <xf numFmtId="0" fontId="29" fillId="3" borderId="9" xfId="5" applyFont="1" applyFill="1" applyBorder="1" applyAlignment="1" applyProtection="1">
      <alignment horizontal="center"/>
      <protection hidden="1"/>
    </xf>
    <xf numFmtId="0" fontId="29" fillId="3" borderId="3" xfId="5" applyFont="1" applyFill="1" applyBorder="1" applyAlignment="1" applyProtection="1">
      <alignment horizontal="center"/>
      <protection hidden="1"/>
    </xf>
    <xf numFmtId="0" fontId="30" fillId="3" borderId="10" xfId="5" applyFont="1" applyFill="1" applyBorder="1" applyProtection="1">
      <protection hidden="1"/>
    </xf>
    <xf numFmtId="0" fontId="29" fillId="3" borderId="10" xfId="5" applyFont="1" applyFill="1" applyBorder="1" applyProtection="1">
      <protection hidden="1"/>
    </xf>
    <xf numFmtId="166" fontId="29" fillId="3" borderId="10" xfId="5" applyNumberFormat="1" applyFont="1" applyFill="1" applyBorder="1" applyProtection="1">
      <protection hidden="1"/>
    </xf>
    <xf numFmtId="0" fontId="29" fillId="3" borderId="10" xfId="5" applyFont="1" applyFill="1" applyBorder="1" applyAlignment="1" applyProtection="1">
      <alignment horizontal="right"/>
      <protection hidden="1"/>
    </xf>
    <xf numFmtId="0" fontId="29" fillId="3" borderId="11" xfId="5" applyFont="1" applyFill="1" applyBorder="1" applyProtection="1">
      <protection hidden="1"/>
    </xf>
    <xf numFmtId="0" fontId="29" fillId="3" borderId="0" xfId="5" applyFont="1" applyFill="1" applyProtection="1">
      <protection hidden="1"/>
    </xf>
    <xf numFmtId="0" fontId="29" fillId="3" borderId="0" xfId="5" applyFont="1" applyFill="1"/>
    <xf numFmtId="0" fontId="29" fillId="4" borderId="0" xfId="5" applyFont="1" applyFill="1"/>
    <xf numFmtId="0" fontId="29" fillId="4" borderId="34" xfId="5" applyFont="1" applyFill="1" applyBorder="1"/>
    <xf numFmtId="0" fontId="30" fillId="3" borderId="0" xfId="5" applyFont="1" applyFill="1" applyProtection="1">
      <protection hidden="1"/>
    </xf>
    <xf numFmtId="166" fontId="29" fillId="3" borderId="0" xfId="5" applyNumberFormat="1" applyFont="1" applyFill="1" applyProtection="1">
      <protection hidden="1"/>
    </xf>
    <xf numFmtId="0" fontId="29" fillId="3" borderId="0" xfId="5" applyFont="1" applyFill="1" applyAlignment="1" applyProtection="1">
      <alignment horizontal="right"/>
      <protection hidden="1"/>
    </xf>
    <xf numFmtId="0" fontId="29" fillId="3" borderId="12" xfId="5" applyFont="1" applyFill="1" applyBorder="1" applyProtection="1">
      <protection hidden="1"/>
    </xf>
    <xf numFmtId="0" fontId="7" fillId="3" borderId="0" xfId="5" applyFont="1" applyFill="1" applyAlignment="1">
      <alignment horizontal="right"/>
    </xf>
    <xf numFmtId="165" fontId="2" fillId="3" borderId="0" xfId="5" applyNumberFormat="1" applyFill="1" applyAlignment="1">
      <alignment shrinkToFit="1"/>
    </xf>
    <xf numFmtId="0" fontId="8" fillId="3" borderId="0" xfId="5" applyFont="1" applyFill="1"/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 shrinkToFit="1"/>
    </xf>
    <xf numFmtId="0" fontId="33" fillId="0" borderId="0" xfId="0" applyFont="1"/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6" fillId="0" borderId="0" xfId="0" applyFont="1" applyAlignment="1">
      <alignment shrinkToFit="1"/>
    </xf>
    <xf numFmtId="1" fontId="37" fillId="0" borderId="0" xfId="0" applyNumberFormat="1" applyFont="1" applyAlignment="1">
      <alignment horizontal="center" shrinkToFit="1"/>
    </xf>
    <xf numFmtId="1" fontId="36" fillId="0" borderId="0" xfId="0" applyNumberFormat="1" applyFont="1" applyAlignment="1">
      <alignment horizontal="center" shrinkToFit="1"/>
    </xf>
    <xf numFmtId="0" fontId="37" fillId="0" borderId="0" xfId="0" applyFont="1" applyAlignment="1">
      <alignment shrinkToFit="1"/>
    </xf>
    <xf numFmtId="0" fontId="38" fillId="3" borderId="0" xfId="0" applyFont="1" applyFill="1" applyAlignment="1">
      <alignment horizontal="right" shrinkToFit="1"/>
    </xf>
    <xf numFmtId="0" fontId="39" fillId="3" borderId="0" xfId="0" applyFont="1" applyFill="1" applyAlignment="1">
      <alignment horizontal="center" shrinkToFit="1"/>
    </xf>
    <xf numFmtId="0" fontId="40" fillId="3" borderId="0" xfId="0" applyFont="1" applyFill="1" applyAlignment="1">
      <alignment horizontal="center" shrinkToFit="1"/>
    </xf>
    <xf numFmtId="0" fontId="40" fillId="3" borderId="0" xfId="0" applyFont="1" applyFill="1" applyAlignment="1">
      <alignment horizontal="right" shrinkToFit="1"/>
    </xf>
    <xf numFmtId="1" fontId="38" fillId="5" borderId="28" xfId="0" applyNumberFormat="1" applyFont="1" applyFill="1" applyBorder="1" applyAlignment="1" applyProtection="1">
      <alignment horizontal="left" vertical="center" shrinkToFit="1"/>
      <protection locked="0"/>
    </xf>
    <xf numFmtId="1" fontId="37" fillId="5" borderId="0" xfId="0" applyNumberFormat="1" applyFont="1" applyFill="1" applyAlignment="1" applyProtection="1">
      <alignment horizontal="center" vertical="center" shrinkToFit="1"/>
      <protection locked="0"/>
    </xf>
    <xf numFmtId="1" fontId="41" fillId="5" borderId="0" xfId="0" applyNumberFormat="1" applyFont="1" applyFill="1" applyAlignment="1" applyProtection="1">
      <alignment horizontal="center" vertical="center" shrinkToFit="1"/>
      <protection locked="0"/>
    </xf>
    <xf numFmtId="0" fontId="43" fillId="5" borderId="0" xfId="2" applyNumberFormat="1" applyFont="1" applyFill="1" applyBorder="1" applyAlignment="1" applyProtection="1">
      <alignment shrinkToFit="1"/>
      <protection locked="0"/>
    </xf>
    <xf numFmtId="0" fontId="38" fillId="5" borderId="27" xfId="2" applyNumberFormat="1" applyFont="1" applyFill="1" applyBorder="1" applyAlignment="1" applyProtection="1">
      <alignment horizontal="center" shrinkToFit="1"/>
      <protection locked="0"/>
    </xf>
    <xf numFmtId="0" fontId="36" fillId="0" borderId="28" xfId="0" applyFont="1" applyBorder="1" applyAlignment="1">
      <alignment horizontal="right" wrapText="1" shrinkToFit="1"/>
    </xf>
    <xf numFmtId="0" fontId="37" fillId="0" borderId="0" xfId="0" applyFont="1" applyAlignment="1" applyProtection="1">
      <alignment horizontal="center" wrapText="1" shrinkToFit="1"/>
      <protection locked="0"/>
    </xf>
    <xf numFmtId="0" fontId="36" fillId="0" borderId="0" xfId="0" applyFont="1" applyAlignment="1" applyProtection="1">
      <alignment horizontal="center" wrapText="1" shrinkToFit="1"/>
      <protection locked="0"/>
    </xf>
    <xf numFmtId="0" fontId="36" fillId="0" borderId="0" xfId="0" applyFont="1" applyAlignment="1">
      <alignment horizontal="left" wrapText="1" shrinkToFit="1"/>
    </xf>
    <xf numFmtId="168" fontId="36" fillId="0" borderId="27" xfId="0" applyNumberFormat="1" applyFont="1" applyBorder="1" applyAlignment="1">
      <alignment horizontal="center" shrinkToFit="1"/>
    </xf>
    <xf numFmtId="0" fontId="36" fillId="0" borderId="27" xfId="0" applyFont="1" applyBorder="1" applyAlignment="1">
      <alignment shrinkToFit="1"/>
    </xf>
    <xf numFmtId="0" fontId="37" fillId="5" borderId="0" xfId="0" applyFont="1" applyFill="1" applyAlignment="1" applyProtection="1">
      <alignment horizontal="center" wrapText="1" shrinkToFit="1"/>
      <protection locked="0"/>
    </xf>
    <xf numFmtId="0" fontId="36" fillId="0" borderId="24" xfId="0" applyFont="1" applyBorder="1" applyAlignment="1">
      <alignment horizontal="right" wrapText="1" shrinkToFit="1"/>
    </xf>
    <xf numFmtId="0" fontId="37" fillId="0" borderId="20" xfId="0" applyFont="1" applyBorder="1" applyAlignment="1" applyProtection="1">
      <alignment horizontal="center" wrapText="1" shrinkToFit="1"/>
      <protection locked="0"/>
    </xf>
    <xf numFmtId="0" fontId="36" fillId="0" borderId="20" xfId="0" applyFont="1" applyBorder="1" applyAlignment="1" applyProtection="1">
      <alignment horizontal="center" wrapText="1" shrinkToFit="1"/>
      <protection locked="0"/>
    </xf>
    <xf numFmtId="0" fontId="36" fillId="0" borderId="20" xfId="0" applyFont="1" applyBorder="1" applyAlignment="1">
      <alignment horizontal="left" wrapText="1" shrinkToFit="1"/>
    </xf>
    <xf numFmtId="0" fontId="36" fillId="0" borderId="23" xfId="0" applyFont="1" applyBorder="1" applyAlignment="1">
      <alignment shrinkToFit="1"/>
    </xf>
    <xf numFmtId="0" fontId="36" fillId="0" borderId="0" xfId="0" applyFont="1" applyAlignment="1">
      <alignment horizontal="right" wrapText="1" shrinkToFit="1"/>
    </xf>
    <xf numFmtId="0" fontId="44" fillId="0" borderId="0" xfId="0" applyFont="1" applyAlignment="1" applyProtection="1">
      <alignment horizontal="center" wrapText="1" shrinkToFit="1"/>
      <protection locked="0"/>
    </xf>
    <xf numFmtId="1" fontId="37" fillId="0" borderId="17" xfId="0" applyNumberFormat="1" applyFont="1" applyBorder="1" applyAlignment="1">
      <alignment horizontal="center" shrinkToFit="1"/>
    </xf>
    <xf numFmtId="1" fontId="36" fillId="0" borderId="17" xfId="0" applyNumberFormat="1" applyFont="1" applyBorder="1" applyAlignment="1">
      <alignment horizontal="center" shrinkToFit="1"/>
    </xf>
    <xf numFmtId="0" fontId="36" fillId="0" borderId="17" xfId="0" applyFont="1" applyBorder="1" applyAlignment="1">
      <alignment shrinkToFit="1"/>
    </xf>
    <xf numFmtId="0" fontId="37" fillId="0" borderId="17" xfId="0" applyFont="1" applyBorder="1" applyAlignment="1">
      <alignment shrinkToFit="1"/>
    </xf>
    <xf numFmtId="0" fontId="36" fillId="0" borderId="18" xfId="0" applyFont="1" applyBorder="1" applyAlignment="1">
      <alignment shrinkToFit="1"/>
    </xf>
    <xf numFmtId="0" fontId="36" fillId="0" borderId="0" xfId="0" applyFont="1" applyAlignment="1">
      <alignment horizontal="right" shrinkToFit="1"/>
    </xf>
    <xf numFmtId="1" fontId="37" fillId="0" borderId="20" xfId="0" applyNumberFormat="1" applyFont="1" applyBorder="1" applyAlignment="1">
      <alignment horizontal="center" shrinkToFit="1"/>
    </xf>
    <xf numFmtId="1" fontId="36" fillId="0" borderId="20" xfId="0" applyNumberFormat="1" applyFont="1" applyBorder="1" applyAlignment="1">
      <alignment horizontal="center" shrinkToFit="1"/>
    </xf>
    <xf numFmtId="0" fontId="36" fillId="0" borderId="20" xfId="0" applyFont="1" applyBorder="1" applyAlignment="1">
      <alignment shrinkToFit="1"/>
    </xf>
    <xf numFmtId="0" fontId="37" fillId="0" borderId="20" xfId="0" applyFont="1" applyBorder="1" applyAlignment="1">
      <alignment shrinkToFit="1"/>
    </xf>
    <xf numFmtId="0" fontId="46" fillId="0" borderId="0" xfId="0" applyFont="1"/>
    <xf numFmtId="1" fontId="31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" fontId="52" fillId="5" borderId="4" xfId="0" applyNumberFormat="1" applyFont="1" applyFill="1" applyBorder="1" applyAlignment="1" applyProtection="1">
      <alignment horizontal="left" vertical="center"/>
      <protection locked="0"/>
    </xf>
    <xf numFmtId="1" fontId="53" fillId="5" borderId="10" xfId="0" applyNumberFormat="1" applyFont="1" applyFill="1" applyBorder="1" applyAlignment="1" applyProtection="1">
      <alignment horizontal="center" vertical="center"/>
      <protection locked="0"/>
    </xf>
    <xf numFmtId="49" fontId="53" fillId="5" borderId="10" xfId="0" applyNumberFormat="1" applyFont="1" applyFill="1" applyBorder="1" applyAlignment="1" applyProtection="1">
      <alignment horizontal="center" vertical="center"/>
      <protection locked="0"/>
    </xf>
    <xf numFmtId="0" fontId="54" fillId="5" borderId="11" xfId="2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7" fillId="0" borderId="8" xfId="0" applyFont="1" applyBorder="1" applyAlignment="1">
      <alignment horizontal="center" vertical="center" wrapText="1" shrinkToFit="1"/>
    </xf>
    <xf numFmtId="0" fontId="57" fillId="0" borderId="0" xfId="0" applyFont="1" applyAlignment="1" applyProtection="1">
      <alignment horizontal="center" vertical="center" wrapText="1" shrinkToFit="1"/>
      <protection locked="0"/>
    </xf>
    <xf numFmtId="49" fontId="57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12" xfId="0" applyFont="1" applyBorder="1" applyAlignment="1">
      <alignment horizontal="center" vertical="center" wrapText="1" shrinkToFit="1"/>
    </xf>
    <xf numFmtId="0" fontId="57" fillId="0" borderId="5" xfId="0" applyFont="1" applyBorder="1" applyAlignment="1">
      <alignment horizontal="center" vertical="center" wrapText="1" shrinkToFit="1"/>
    </xf>
    <xf numFmtId="0" fontId="57" fillId="0" borderId="13" xfId="0" applyFont="1" applyBorder="1" applyAlignment="1" applyProtection="1">
      <alignment horizontal="center" vertical="center" wrapText="1" shrinkToFit="1"/>
      <protection locked="0"/>
    </xf>
    <xf numFmtId="49" fontId="5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57" fillId="0" borderId="14" xfId="0" applyFont="1" applyBorder="1" applyAlignment="1">
      <alignment horizontal="center" vertical="center" wrapText="1" shrinkToFi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 applyProtection="1">
      <alignment horizontal="center" vertical="center" wrapText="1"/>
      <protection locked="0"/>
    </xf>
    <xf numFmtId="49" fontId="57" fillId="0" borderId="0" xfId="0" applyNumberFormat="1" applyFont="1" applyAlignment="1" applyProtection="1">
      <alignment horizontal="center" vertical="center" wrapText="1"/>
      <protection locked="0"/>
    </xf>
    <xf numFmtId="0" fontId="56" fillId="6" borderId="4" xfId="0" applyFont="1" applyFill="1" applyBorder="1" applyAlignment="1" applyProtection="1">
      <alignment horizontal="center" vertical="center"/>
      <protection locked="0"/>
    </xf>
    <xf numFmtId="0" fontId="58" fillId="6" borderId="10" xfId="2" applyNumberFormat="1" applyFont="1" applyFill="1" applyBorder="1" applyAlignment="1" applyProtection="1">
      <alignment horizontal="center" vertical="center"/>
      <protection locked="0"/>
    </xf>
    <xf numFmtId="0" fontId="61" fillId="6" borderId="8" xfId="0" applyFont="1" applyFill="1" applyBorder="1" applyAlignment="1" applyProtection="1">
      <alignment horizontal="center" vertical="center"/>
      <protection locked="0"/>
    </xf>
    <xf numFmtId="0" fontId="59" fillId="6" borderId="0" xfId="0" applyFont="1" applyFill="1" applyAlignment="1" applyProtection="1">
      <alignment horizontal="center" vertical="center"/>
      <protection locked="0"/>
    </xf>
    <xf numFmtId="0" fontId="62" fillId="7" borderId="8" xfId="0" applyFont="1" applyFill="1" applyBorder="1" applyAlignment="1" applyProtection="1">
      <alignment horizontal="center" vertical="center"/>
      <protection locked="0"/>
    </xf>
    <xf numFmtId="1" fontId="57" fillId="7" borderId="0" xfId="0" applyNumberFormat="1" applyFont="1" applyFill="1" applyAlignment="1" applyProtection="1">
      <alignment horizontal="left" vertical="center" wrapText="1"/>
      <protection locked="0" hidden="1"/>
    </xf>
    <xf numFmtId="1" fontId="57" fillId="7" borderId="0" xfId="0" applyNumberFormat="1" applyFont="1" applyFill="1" applyAlignment="1" applyProtection="1">
      <alignment horizontal="center" vertical="center" wrapText="1"/>
      <protection locked="0" hidden="1"/>
    </xf>
    <xf numFmtId="1" fontId="63" fillId="7" borderId="0" xfId="0" applyNumberFormat="1" applyFont="1" applyFill="1" applyAlignment="1" applyProtection="1">
      <alignment horizontal="center" vertical="center" wrapText="1"/>
      <protection locked="0" hidden="1"/>
    </xf>
    <xf numFmtId="1" fontId="64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62" fillId="7" borderId="5" xfId="0" applyFont="1" applyFill="1" applyBorder="1" applyAlignment="1" applyProtection="1">
      <alignment horizontal="center" vertical="center"/>
      <protection locked="0"/>
    </xf>
    <xf numFmtId="1" fontId="57" fillId="7" borderId="13" xfId="0" applyNumberFormat="1" applyFont="1" applyFill="1" applyBorder="1" applyAlignment="1" applyProtection="1">
      <alignment horizontal="left" vertical="center" wrapText="1"/>
      <protection locked="0" hidden="1"/>
    </xf>
    <xf numFmtId="1" fontId="57" fillId="7" borderId="13" xfId="0" applyNumberFormat="1" applyFont="1" applyFill="1" applyBorder="1" applyAlignment="1" applyProtection="1">
      <alignment horizontal="center" vertical="center" wrapText="1"/>
      <protection locked="0" hidden="1"/>
    </xf>
    <xf numFmtId="1" fontId="63" fillId="7" borderId="13" xfId="0" applyNumberFormat="1" applyFont="1" applyFill="1" applyBorder="1" applyAlignment="1" applyProtection="1">
      <alignment horizontal="center" vertical="center" wrapText="1"/>
      <protection locked="0" hidden="1"/>
    </xf>
    <xf numFmtId="1" fontId="64" fillId="7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62" fillId="3" borderId="0" xfId="0" applyFont="1" applyFill="1" applyAlignment="1" applyProtection="1">
      <alignment horizontal="center" vertical="center"/>
      <protection locked="0"/>
    </xf>
    <xf numFmtId="1" fontId="57" fillId="3" borderId="0" xfId="0" applyNumberFormat="1" applyFont="1" applyFill="1" applyAlignment="1" applyProtection="1">
      <alignment horizontal="center" vertical="center" wrapText="1"/>
      <protection locked="0" hidden="1"/>
    </xf>
    <xf numFmtId="1" fontId="63" fillId="3" borderId="0" xfId="0" applyNumberFormat="1" applyFont="1" applyFill="1" applyAlignment="1" applyProtection="1">
      <alignment horizontal="center" vertical="center" wrapText="1"/>
      <protection locked="0" hidden="1"/>
    </xf>
    <xf numFmtId="1" fontId="64" fillId="3" borderId="0" xfId="0" applyNumberFormat="1" applyFont="1" applyFill="1" applyAlignment="1" applyProtection="1">
      <alignment horizontal="center" vertical="center" wrapText="1"/>
      <protection locked="0" hidden="1"/>
    </xf>
    <xf numFmtId="1" fontId="53" fillId="0" borderId="0" xfId="0" applyNumberFormat="1" applyFont="1" applyAlignment="1" applyProtection="1">
      <alignment horizontal="center" vertical="center" wrapText="1"/>
      <protection locked="0"/>
    </xf>
    <xf numFmtId="49" fontId="53" fillId="0" borderId="0" xfId="0" applyNumberFormat="1" applyFont="1" applyAlignment="1" applyProtection="1">
      <alignment horizontal="center" vertical="center" wrapText="1"/>
      <protection locked="0"/>
    </xf>
    <xf numFmtId="0" fontId="57" fillId="0" borderId="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5" fillId="3" borderId="0" xfId="0" applyFont="1" applyFill="1" applyAlignment="1" applyProtection="1">
      <alignment horizontal="center" vertical="center"/>
      <protection locked="0"/>
    </xf>
    <xf numFmtId="0" fontId="57" fillId="0" borderId="5" xfId="0" applyFont="1" applyBorder="1" applyAlignment="1">
      <alignment horizontal="center" vertical="center" wrapText="1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 applyProtection="1">
      <alignment horizontal="right" wrapText="1"/>
      <protection locked="0"/>
    </xf>
    <xf numFmtId="49" fontId="57" fillId="0" borderId="0" xfId="0" applyNumberFormat="1" applyFont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left" wrapText="1"/>
      <protection locked="0"/>
    </xf>
    <xf numFmtId="0" fontId="57" fillId="0" borderId="0" xfId="0" applyFont="1" applyAlignment="1">
      <alignment horizontal="left" wrapText="1"/>
    </xf>
    <xf numFmtId="0" fontId="55" fillId="0" borderId="0" xfId="0" applyFont="1"/>
    <xf numFmtId="0" fontId="56" fillId="0" borderId="0" xfId="0" applyFont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6" fillId="6" borderId="4" xfId="0" applyFont="1" applyFill="1" applyBorder="1" applyAlignment="1" applyProtection="1">
      <alignment horizontal="center" vertical="center"/>
      <protection locked="0"/>
    </xf>
    <xf numFmtId="0" fontId="60" fillId="6" borderId="8" xfId="0" applyFont="1" applyFill="1" applyBorder="1" applyAlignment="1" applyProtection="1">
      <alignment horizontal="center" vertical="center"/>
      <protection locked="0"/>
    </xf>
    <xf numFmtId="1" fontId="57" fillId="3" borderId="0" xfId="0" applyNumberFormat="1" applyFont="1" applyFill="1" applyAlignment="1" applyProtection="1">
      <alignment horizontal="center" vertical="center" wrapText="1"/>
      <protection locked="0"/>
    </xf>
    <xf numFmtId="1" fontId="63" fillId="3" borderId="0" xfId="0" applyNumberFormat="1" applyFont="1" applyFill="1" applyAlignment="1" applyProtection="1">
      <alignment horizontal="center" vertical="center" wrapText="1"/>
      <protection locked="0"/>
    </xf>
    <xf numFmtId="1" fontId="64" fillId="3" borderId="0" xfId="0" applyNumberFormat="1" applyFont="1" applyFill="1" applyAlignment="1" applyProtection="1">
      <alignment horizontal="center" vertical="center" wrapText="1"/>
      <protection locked="0"/>
    </xf>
    <xf numFmtId="0" fontId="57" fillId="3" borderId="0" xfId="0" applyFont="1" applyFill="1" applyAlignment="1" applyProtection="1">
      <alignment horizontal="center" vertical="center"/>
      <protection locked="0"/>
    </xf>
    <xf numFmtId="0" fontId="67" fillId="3" borderId="0" xfId="0" applyFont="1" applyFill="1" applyAlignment="1" applyProtection="1">
      <alignment horizontal="center" vertical="center"/>
      <protection locked="0"/>
    </xf>
    <xf numFmtId="1" fontId="52" fillId="5" borderId="10" xfId="0" applyNumberFormat="1" applyFont="1" applyFill="1" applyBorder="1" applyAlignment="1" applyProtection="1">
      <alignment horizontal="left" vertical="center"/>
      <protection locked="0"/>
    </xf>
    <xf numFmtId="1" fontId="52" fillId="0" borderId="8" xfId="0" applyNumberFormat="1" applyFont="1" applyBorder="1" applyAlignment="1" applyProtection="1">
      <alignment horizontal="center" vertical="center"/>
      <protection locked="0"/>
    </xf>
    <xf numFmtId="1" fontId="53" fillId="0" borderId="0" xfId="0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0" fontId="54" fillId="0" borderId="12" xfId="2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8" fillId="0" borderId="0" xfId="0" applyFont="1" applyAlignment="1">
      <alignment horizontal="right" wrapText="1"/>
    </xf>
    <xf numFmtId="0" fontId="69" fillId="0" borderId="0" xfId="0" applyFont="1" applyAlignment="1" applyProtection="1">
      <alignment horizontal="right" wrapText="1"/>
      <protection locked="0"/>
    </xf>
    <xf numFmtId="49" fontId="69" fillId="0" borderId="0" xfId="0" applyNumberFormat="1" applyFont="1" applyAlignment="1" applyProtection="1">
      <alignment horizontal="center" wrapText="1"/>
      <protection locked="0"/>
    </xf>
    <xf numFmtId="0" fontId="69" fillId="0" borderId="0" xfId="0" applyFont="1" applyAlignment="1" applyProtection="1">
      <alignment horizontal="left" wrapText="1"/>
      <protection locked="0"/>
    </xf>
    <xf numFmtId="0" fontId="68" fillId="0" borderId="0" xfId="0" applyFont="1" applyAlignment="1">
      <alignment horizontal="left" wrapText="1"/>
    </xf>
    <xf numFmtId="0" fontId="46" fillId="0" borderId="0" xfId="0" applyFont="1" applyProtection="1">
      <protection locked="0"/>
    </xf>
    <xf numFmtId="0" fontId="70" fillId="0" borderId="0" xfId="0" applyFont="1"/>
    <xf numFmtId="0" fontId="70" fillId="3" borderId="44" xfId="0" applyFont="1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0" borderId="0" xfId="0" applyFont="1"/>
    <xf numFmtId="0" fontId="71" fillId="0" borderId="13" xfId="0" applyFont="1" applyBorder="1"/>
    <xf numFmtId="0" fontId="72" fillId="0" borderId="13" xfId="0" applyFont="1" applyBorder="1"/>
    <xf numFmtId="0" fontId="73" fillId="0" borderId="0" xfId="0" applyFont="1"/>
    <xf numFmtId="0" fontId="0" fillId="0" borderId="0" xfId="0" applyAlignment="1">
      <alignment horizontal="right"/>
    </xf>
    <xf numFmtId="0" fontId="33" fillId="0" borderId="37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right"/>
    </xf>
    <xf numFmtId="0" fontId="33" fillId="0" borderId="38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0" fontId="0" fillId="0" borderId="3" xfId="0" applyBorder="1" applyAlignment="1">
      <alignment shrinkToFit="1"/>
    </xf>
    <xf numFmtId="0" fontId="0" fillId="3" borderId="3" xfId="0" applyFill="1" applyBorder="1"/>
    <xf numFmtId="0" fontId="0" fillId="0" borderId="38" xfId="0" applyBorder="1"/>
    <xf numFmtId="0" fontId="33" fillId="0" borderId="41" xfId="0" applyFont="1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right"/>
    </xf>
    <xf numFmtId="0" fontId="0" fillId="0" borderId="42" xfId="0" applyBorder="1"/>
    <xf numFmtId="0" fontId="0" fillId="0" borderId="0" xfId="0" applyProtection="1">
      <protection hidden="1"/>
    </xf>
    <xf numFmtId="0" fontId="7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76" fillId="2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76" fillId="2" borderId="0" xfId="0" applyFont="1" applyFill="1" applyAlignment="1" applyProtection="1">
      <alignment horizontal="center"/>
      <protection hidden="1"/>
    </xf>
    <xf numFmtId="0" fontId="76" fillId="9" borderId="0" xfId="0" applyFont="1" applyFill="1" applyAlignment="1" applyProtection="1">
      <alignment horizontal="center"/>
      <protection hidden="1"/>
    </xf>
    <xf numFmtId="170" fontId="76" fillId="9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left" vertical="center" wrapText="1"/>
      <protection hidden="1"/>
    </xf>
    <xf numFmtId="1" fontId="5" fillId="0" borderId="0" xfId="0" applyNumberFormat="1" applyFont="1" applyAlignment="1" applyProtection="1">
      <alignment vertical="center" wrapText="1"/>
      <protection hidden="1"/>
    </xf>
    <xf numFmtId="1" fontId="7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8" fillId="3" borderId="45" xfId="5" applyFont="1" applyFill="1" applyBorder="1" applyAlignment="1" applyProtection="1">
      <alignment horizontal="center"/>
      <protection hidden="1"/>
    </xf>
    <xf numFmtId="171" fontId="13" fillId="3" borderId="19" xfId="5" applyNumberFormat="1" applyFont="1" applyFill="1" applyBorder="1" applyAlignment="1" applyProtection="1">
      <alignment horizontal="left"/>
      <protection hidden="1"/>
    </xf>
    <xf numFmtId="171" fontId="13" fillId="3" borderId="28" xfId="5" applyNumberFormat="1" applyFont="1" applyFill="1" applyBorder="1" applyAlignment="1" applyProtection="1">
      <alignment horizontal="left"/>
      <protection hidden="1"/>
    </xf>
    <xf numFmtId="171" fontId="13" fillId="3" borderId="24" xfId="5" applyNumberFormat="1" applyFont="1" applyFill="1" applyBorder="1" applyAlignment="1" applyProtection="1">
      <alignment horizontal="left"/>
      <protection hidden="1"/>
    </xf>
    <xf numFmtId="171" fontId="8" fillId="3" borderId="28" xfId="5" applyNumberFormat="1" applyFont="1" applyFill="1" applyBorder="1" applyAlignment="1" applyProtection="1">
      <alignment horizontal="left"/>
      <protection hidden="1"/>
    </xf>
    <xf numFmtId="171" fontId="8" fillId="3" borderId="24" xfId="5" applyNumberFormat="1" applyFont="1" applyFill="1" applyBorder="1" applyAlignment="1" applyProtection="1">
      <alignment horizontal="left"/>
      <protection hidden="1"/>
    </xf>
    <xf numFmtId="0" fontId="8" fillId="3" borderId="39" xfId="5" applyFont="1" applyFill="1" applyBorder="1" applyAlignment="1" applyProtection="1">
      <alignment horizontal="center"/>
      <protection hidden="1"/>
    </xf>
    <xf numFmtId="0" fontId="15" fillId="7" borderId="35" xfId="5" applyFont="1" applyFill="1" applyBorder="1" applyAlignment="1" applyProtection="1">
      <alignment horizontal="center" vertical="center"/>
      <protection hidden="1"/>
    </xf>
    <xf numFmtId="165" fontId="12" fillId="4" borderId="0" xfId="5" applyNumberFormat="1" applyFont="1" applyFill="1" applyAlignment="1" applyProtection="1">
      <alignment horizontal="left" shrinkToFit="1"/>
      <protection hidden="1"/>
    </xf>
    <xf numFmtId="0" fontId="26" fillId="4" borderId="0" xfId="5" applyFont="1" applyFill="1" applyAlignment="1" applyProtection="1">
      <alignment horizontal="center"/>
      <protection hidden="1"/>
    </xf>
    <xf numFmtId="0" fontId="28" fillId="4" borderId="0" xfId="5" applyFont="1" applyFill="1" applyProtection="1">
      <protection hidden="1"/>
    </xf>
    <xf numFmtId="165" fontId="28" fillId="4" borderId="20" xfId="5" applyNumberFormat="1" applyFont="1" applyFill="1" applyBorder="1" applyAlignment="1" applyProtection="1">
      <alignment horizontal="left" shrinkToFit="1"/>
      <protection hidden="1"/>
    </xf>
    <xf numFmtId="171" fontId="13" fillId="3" borderId="0" xfId="5" applyNumberFormat="1" applyFont="1" applyFill="1" applyProtection="1">
      <protection hidden="1"/>
    </xf>
    <xf numFmtId="171" fontId="13" fillId="3" borderId="28" xfId="5" applyNumberFormat="1" applyFont="1" applyFill="1" applyBorder="1" applyProtection="1">
      <protection hidden="1"/>
    </xf>
    <xf numFmtId="171" fontId="13" fillId="3" borderId="24" xfId="5" applyNumberFormat="1" applyFont="1" applyFill="1" applyBorder="1" applyProtection="1">
      <protection hidden="1"/>
    </xf>
    <xf numFmtId="171" fontId="13" fillId="3" borderId="20" xfId="5" applyNumberFormat="1" applyFont="1" applyFill="1" applyBorder="1" applyProtection="1">
      <protection hidden="1"/>
    </xf>
    <xf numFmtId="0" fontId="8" fillId="3" borderId="4" xfId="5" applyFont="1" applyFill="1" applyBorder="1" applyAlignment="1" applyProtection="1">
      <alignment horizontal="center"/>
      <protection hidden="1"/>
    </xf>
    <xf numFmtId="0" fontId="8" fillId="3" borderId="51" xfId="5" applyFont="1" applyFill="1" applyBorder="1" applyAlignment="1" applyProtection="1">
      <alignment horizontal="center"/>
      <protection hidden="1"/>
    </xf>
    <xf numFmtId="0" fontId="8" fillId="3" borderId="45" xfId="5" applyFont="1" applyFill="1" applyBorder="1" applyAlignment="1" applyProtection="1">
      <alignment horizontal="left"/>
      <protection hidden="1"/>
    </xf>
    <xf numFmtId="0" fontId="8" fillId="0" borderId="45" xfId="5" applyFont="1" applyBorder="1" applyAlignment="1" applyProtection="1">
      <alignment horizontal="left" shrinkToFit="1"/>
      <protection hidden="1"/>
    </xf>
    <xf numFmtId="0" fontId="6" fillId="3" borderId="45" xfId="5" applyFont="1" applyFill="1" applyBorder="1" applyAlignment="1">
      <alignment horizontal="left"/>
    </xf>
    <xf numFmtId="0" fontId="8" fillId="3" borderId="45" xfId="5" applyFont="1" applyFill="1" applyBorder="1" applyAlignment="1" applyProtection="1">
      <alignment horizontal="left" shrinkToFit="1"/>
      <protection hidden="1"/>
    </xf>
    <xf numFmtId="0" fontId="22" fillId="3" borderId="45" xfId="1" applyNumberFormat="1" applyFont="1" applyFill="1" applyBorder="1" applyAlignment="1" applyProtection="1">
      <alignment horizontal="left" shrinkToFit="1"/>
      <protection hidden="1"/>
    </xf>
    <xf numFmtId="0" fontId="8" fillId="0" borderId="45" xfId="1" applyNumberFormat="1" applyFont="1" applyFill="1" applyBorder="1" applyAlignment="1" applyProtection="1">
      <alignment horizontal="left" shrinkToFit="1"/>
      <protection hidden="1"/>
    </xf>
    <xf numFmtId="0" fontId="8" fillId="3" borderId="45" xfId="5" applyFont="1" applyFill="1" applyBorder="1" applyAlignment="1">
      <alignment horizontal="left"/>
    </xf>
    <xf numFmtId="0" fontId="6" fillId="3" borderId="45" xfId="5" applyFont="1" applyFill="1" applyBorder="1" applyAlignment="1">
      <alignment horizontal="center"/>
    </xf>
    <xf numFmtId="0" fontId="6" fillId="3" borderId="45" xfId="5" applyFont="1" applyFill="1" applyBorder="1" applyAlignment="1" applyProtection="1">
      <alignment horizontal="center"/>
      <protection hidden="1"/>
    </xf>
    <xf numFmtId="0" fontId="24" fillId="3" borderId="45" xfId="5" applyFont="1" applyFill="1" applyBorder="1" applyAlignment="1" applyProtection="1">
      <alignment horizontal="center"/>
      <protection hidden="1"/>
    </xf>
    <xf numFmtId="0" fontId="6" fillId="0" borderId="45" xfId="5" applyFont="1" applyBorder="1" applyAlignment="1" applyProtection="1">
      <alignment horizontal="center"/>
      <protection hidden="1"/>
    </xf>
    <xf numFmtId="0" fontId="24" fillId="0" borderId="45" xfId="5" applyFont="1" applyBorder="1" applyAlignment="1" applyProtection="1">
      <alignment horizontal="center"/>
      <protection hidden="1"/>
    </xf>
    <xf numFmtId="0" fontId="6" fillId="3" borderId="45" xfId="5" applyFont="1" applyFill="1" applyBorder="1" applyAlignment="1">
      <alignment horizontal="center" vertical="center"/>
    </xf>
    <xf numFmtId="0" fontId="6" fillId="3" borderId="45" xfId="5" applyFont="1" applyFill="1" applyBorder="1" applyAlignment="1" applyProtection="1">
      <alignment horizontal="center" vertical="center"/>
      <protection hidden="1"/>
    </xf>
    <xf numFmtId="0" fontId="6" fillId="0" borderId="45" xfId="5" applyFont="1" applyBorder="1" applyAlignment="1" applyProtection="1">
      <alignment horizontal="center" vertical="center"/>
      <protection hidden="1"/>
    </xf>
    <xf numFmtId="0" fontId="8" fillId="3" borderId="45" xfId="5" applyFont="1" applyFill="1" applyBorder="1" applyAlignment="1" applyProtection="1">
      <alignment horizontal="center" vertical="center"/>
      <protection hidden="1"/>
    </xf>
    <xf numFmtId="0" fontId="8" fillId="3" borderId="33" xfId="5" applyFont="1" applyFill="1" applyBorder="1" applyAlignment="1" applyProtection="1">
      <alignment horizontal="center" vertical="center"/>
      <protection hidden="1"/>
    </xf>
    <xf numFmtId="0" fontId="8" fillId="3" borderId="52" xfId="5" applyFont="1" applyFill="1" applyBorder="1" applyAlignment="1" applyProtection="1">
      <alignment horizontal="center" vertical="center"/>
      <protection hidden="1"/>
    </xf>
    <xf numFmtId="0" fontId="8" fillId="3" borderId="3" xfId="5" applyFont="1" applyFill="1" applyBorder="1" applyAlignment="1" applyProtection="1">
      <alignment horizontal="center" vertical="center"/>
      <protection hidden="1"/>
    </xf>
    <xf numFmtId="0" fontId="8" fillId="3" borderId="1" xfId="5" applyFont="1" applyFill="1" applyBorder="1" applyAlignment="1" applyProtection="1">
      <alignment horizontal="center" vertical="center"/>
      <protection hidden="1"/>
    </xf>
    <xf numFmtId="0" fontId="3" fillId="3" borderId="46" xfId="4" applyFont="1" applyFill="1" applyBorder="1" applyAlignment="1">
      <alignment horizontal="center"/>
    </xf>
    <xf numFmtId="0" fontId="4" fillId="3" borderId="21" xfId="4" applyFont="1" applyFill="1" applyBorder="1" applyAlignment="1">
      <alignment horizontal="center" vertical="center"/>
    </xf>
    <xf numFmtId="0" fontId="5" fillId="3" borderId="44" xfId="4" applyFont="1" applyFill="1" applyBorder="1" applyAlignment="1">
      <alignment horizontal="center" vertical="center"/>
    </xf>
    <xf numFmtId="0" fontId="14" fillId="3" borderId="43" xfId="5" applyFont="1" applyFill="1" applyBorder="1" applyAlignment="1" applyProtection="1">
      <alignment horizontal="center" vertical="center"/>
      <protection hidden="1"/>
    </xf>
    <xf numFmtId="0" fontId="16" fillId="3" borderId="49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7" fillId="3" borderId="47" xfId="5" applyFont="1" applyFill="1" applyBorder="1" applyAlignment="1">
      <alignment horizontal="center" vertical="center"/>
    </xf>
    <xf numFmtId="0" fontId="17" fillId="3" borderId="53" xfId="5" applyFont="1" applyFill="1" applyBorder="1" applyAlignment="1">
      <alignment horizontal="center" vertical="center"/>
    </xf>
    <xf numFmtId="165" fontId="12" fillId="4" borderId="0" xfId="5" applyNumberFormat="1" applyFont="1" applyFill="1" applyAlignment="1" applyProtection="1">
      <alignment horizontal="center" shrinkToFit="1"/>
      <protection hidden="1"/>
    </xf>
    <xf numFmtId="165" fontId="12" fillId="4" borderId="27" xfId="5" applyNumberFormat="1" applyFont="1" applyFill="1" applyBorder="1" applyAlignment="1" applyProtection="1">
      <alignment horizontal="center" shrinkToFit="1"/>
      <protection hidden="1"/>
    </xf>
    <xf numFmtId="0" fontId="14" fillId="3" borderId="17" xfId="5" applyFont="1" applyFill="1" applyBorder="1" applyAlignment="1" applyProtection="1">
      <alignment horizontal="center" vertical="center"/>
      <protection hidden="1"/>
    </xf>
    <xf numFmtId="0" fontId="14" fillId="3" borderId="20" xfId="5" applyFont="1" applyFill="1" applyBorder="1" applyAlignment="1" applyProtection="1">
      <alignment horizontal="center" vertical="center"/>
      <protection hidden="1"/>
    </xf>
    <xf numFmtId="0" fontId="17" fillId="3" borderId="48" xfId="5" applyFont="1" applyFill="1" applyBorder="1" applyAlignment="1">
      <alignment horizontal="center" vertical="center"/>
    </xf>
    <xf numFmtId="0" fontId="17" fillId="3" borderId="54" xfId="5" applyFont="1" applyFill="1" applyBorder="1" applyAlignment="1">
      <alignment horizontal="center" vertical="center"/>
    </xf>
    <xf numFmtId="0" fontId="17" fillId="3" borderId="57" xfId="5" applyFont="1" applyFill="1" applyBorder="1" applyAlignment="1">
      <alignment horizontal="center" vertical="center"/>
    </xf>
    <xf numFmtId="0" fontId="10" fillId="3" borderId="0" xfId="5" applyFont="1" applyFill="1" applyAlignment="1" applyProtection="1">
      <alignment horizontal="center"/>
      <protection hidden="1"/>
    </xf>
    <xf numFmtId="0" fontId="10" fillId="3" borderId="0" xfId="5" applyFont="1" applyFill="1" applyAlignment="1" applyProtection="1">
      <alignment horizontal="center" shrinkToFit="1"/>
      <protection hidden="1"/>
    </xf>
    <xf numFmtId="0" fontId="15" fillId="7" borderId="3" xfId="5" applyFont="1" applyFill="1" applyBorder="1" applyAlignment="1" applyProtection="1">
      <alignment horizontal="center" vertical="center"/>
      <protection hidden="1"/>
    </xf>
    <xf numFmtId="0" fontId="16" fillId="3" borderId="45" xfId="5" applyFont="1" applyFill="1" applyBorder="1" applyAlignment="1">
      <alignment horizontal="center" vertical="center"/>
    </xf>
    <xf numFmtId="0" fontId="17" fillId="3" borderId="45" xfId="5" applyFont="1" applyFill="1" applyBorder="1" applyAlignment="1">
      <alignment horizontal="center" vertical="center"/>
    </xf>
    <xf numFmtId="0" fontId="17" fillId="3" borderId="55" xfId="5" applyFont="1" applyFill="1" applyBorder="1" applyAlignment="1">
      <alignment horizontal="center" vertical="center"/>
    </xf>
    <xf numFmtId="0" fontId="17" fillId="3" borderId="56" xfId="5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1" fontId="33" fillId="13" borderId="3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167" fontId="33" fillId="0" borderId="11" xfId="0" applyNumberFormat="1" applyFont="1" applyBorder="1" applyAlignment="1">
      <alignment horizontal="center" vertical="center"/>
    </xf>
    <xf numFmtId="1" fontId="33" fillId="14" borderId="3" xfId="0" applyNumberFormat="1" applyFont="1" applyFill="1" applyBorder="1" applyAlignment="1">
      <alignment horizontal="center" vertical="center" wrapText="1"/>
    </xf>
    <xf numFmtId="0" fontId="33" fillId="15" borderId="35" xfId="0" applyFont="1" applyFill="1" applyBorder="1" applyAlignment="1">
      <alignment horizontal="center" vertical="center"/>
    </xf>
    <xf numFmtId="167" fontId="33" fillId="0" borderId="10" xfId="0" applyNumberFormat="1" applyFont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 wrapText="1" shrinkToFit="1"/>
    </xf>
    <xf numFmtId="0" fontId="27" fillId="16" borderId="3" xfId="0" applyFont="1" applyFill="1" applyBorder="1" applyAlignment="1">
      <alignment horizontal="center" vertical="center"/>
    </xf>
    <xf numFmtId="0" fontId="33" fillId="17" borderId="3" xfId="0" applyFont="1" applyFill="1" applyBorder="1" applyAlignment="1">
      <alignment horizontal="center"/>
    </xf>
    <xf numFmtId="0" fontId="33" fillId="18" borderId="3" xfId="0" applyFont="1" applyFill="1" applyBorder="1" applyAlignment="1">
      <alignment horizontal="center"/>
    </xf>
    <xf numFmtId="1" fontId="33" fillId="12" borderId="3" xfId="0" applyNumberFormat="1" applyFont="1" applyFill="1" applyBorder="1" applyAlignment="1">
      <alignment horizontal="center" vertical="center" wrapText="1"/>
    </xf>
    <xf numFmtId="1" fontId="33" fillId="12" borderId="3" xfId="0" applyNumberFormat="1" applyFont="1" applyFill="1" applyBorder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15" borderId="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167" fontId="33" fillId="0" borderId="10" xfId="0" applyNumberFormat="1" applyFont="1" applyBorder="1" applyAlignment="1">
      <alignment horizontal="center"/>
    </xf>
    <xf numFmtId="0" fontId="33" fillId="10" borderId="39" xfId="0" applyFont="1" applyFill="1" applyBorder="1" applyAlignment="1">
      <alignment horizontal="center"/>
    </xf>
    <xf numFmtId="167" fontId="33" fillId="10" borderId="35" xfId="0" applyNumberFormat="1" applyFont="1" applyFill="1" applyBorder="1" applyAlignment="1">
      <alignment horizontal="center"/>
    </xf>
    <xf numFmtId="0" fontId="35" fillId="11" borderId="35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6" fillId="0" borderId="0" xfId="0" applyFont="1" applyAlignment="1">
      <alignment horizontal="center" shrinkToFit="1"/>
    </xf>
    <xf numFmtId="0" fontId="32" fillId="19" borderId="0" xfId="0" applyFont="1" applyFill="1" applyAlignment="1">
      <alignment horizontal="center" vertical="center" wrapText="1" shrinkToFit="1"/>
    </xf>
    <xf numFmtId="0" fontId="38" fillId="13" borderId="15" xfId="0" applyFont="1" applyFill="1" applyBorder="1" applyAlignment="1">
      <alignment horizontal="center" vertical="center" shrinkToFit="1"/>
    </xf>
    <xf numFmtId="0" fontId="45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1" fontId="36" fillId="0" borderId="17" xfId="0" applyNumberFormat="1" applyFont="1" applyBorder="1" applyAlignment="1">
      <alignment horizontal="left" shrinkToFit="1"/>
    </xf>
    <xf numFmtId="1" fontId="36" fillId="0" borderId="0" xfId="0" applyNumberFormat="1" applyFont="1" applyAlignment="1">
      <alignment horizontal="left" shrinkToFit="1"/>
    </xf>
    <xf numFmtId="0" fontId="3" fillId="3" borderId="44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48" fillId="19" borderId="0" xfId="0" applyFont="1" applyFill="1" applyAlignment="1">
      <alignment horizontal="center" wrapText="1"/>
    </xf>
    <xf numFmtId="0" fontId="49" fillId="19" borderId="0" xfId="0" applyFont="1" applyFill="1" applyAlignment="1">
      <alignment horizontal="center"/>
    </xf>
    <xf numFmtId="0" fontId="59" fillId="6" borderId="10" xfId="0" applyFont="1" applyFill="1" applyBorder="1" applyAlignment="1" applyProtection="1">
      <alignment horizontal="center" vertical="center"/>
      <protection locked="0"/>
    </xf>
    <xf numFmtId="0" fontId="60" fillId="6" borderId="11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horizontal="center" vertical="center"/>
    </xf>
    <xf numFmtId="0" fontId="74" fillId="0" borderId="46" xfId="0" applyFont="1" applyBorder="1" applyAlignment="1">
      <alignment horizontal="center"/>
    </xf>
    <xf numFmtId="1" fontId="76" fillId="2" borderId="0" xfId="0" applyNumberFormat="1" applyFont="1" applyFill="1" applyAlignment="1" applyProtection="1">
      <alignment horizontal="center"/>
      <protection hidden="1"/>
    </xf>
    <xf numFmtId="0" fontId="75" fillId="8" borderId="0" xfId="0" applyFont="1" applyFill="1" applyAlignment="1" applyProtection="1">
      <alignment horizontal="center"/>
      <protection hidden="1"/>
    </xf>
  </cellXfs>
  <cellStyles count="6">
    <cellStyle name="Excel_BuiltIn_İyi" xfId="1"/>
    <cellStyle name="Köprü" xfId="2" builtinId="8"/>
    <cellStyle name="Normal" xfId="0" builtinId="0"/>
    <cellStyle name="Normal 2" xfId="3"/>
    <cellStyle name="Normal_EURO2008T" xfId="4"/>
    <cellStyle name="Normal_WC2006turkish" xfId="5"/>
  </cellStyles>
  <dxfs count="6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3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0</xdr:row>
      <xdr:rowOff>0</xdr:rowOff>
    </xdr:from>
    <xdr:to>
      <xdr:col>7</xdr:col>
      <xdr:colOff>609600</xdr:colOff>
      <xdr:row>0</xdr:row>
      <xdr:rowOff>0</xdr:rowOff>
    </xdr:to>
    <xdr:sp macro="" textlink="">
      <xdr:nvSpPr>
        <xdr:cNvPr id="4297" name="Line 30">
          <a:extLst>
            <a:ext uri="{FF2B5EF4-FFF2-40B4-BE49-F238E27FC236}">
              <a16:creationId xmlns="" xmlns:a16="http://schemas.microsoft.com/office/drawing/2014/main" id="{00000000-0008-0000-0200-0000C9100000}"/>
            </a:ext>
          </a:extLst>
        </xdr:cNvPr>
        <xdr:cNvSpPr>
          <a:spLocks noChangeShapeType="1"/>
        </xdr:cNvSpPr>
      </xdr:nvSpPr>
      <xdr:spPr bwMode="auto">
        <a:xfrm>
          <a:off x="4067175" y="0"/>
          <a:ext cx="1619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4298" name="Line 33">
          <a:extLst>
            <a:ext uri="{FF2B5EF4-FFF2-40B4-BE49-F238E27FC236}">
              <a16:creationId xmlns="" xmlns:a16="http://schemas.microsoft.com/office/drawing/2014/main" id="{00000000-0008-0000-0200-0000CA100000}"/>
            </a:ext>
          </a:extLst>
        </xdr:cNvPr>
        <xdr:cNvSpPr>
          <a:spLocks noChangeShapeType="1"/>
        </xdr:cNvSpPr>
      </xdr:nvSpPr>
      <xdr:spPr bwMode="auto">
        <a:xfrm>
          <a:off x="4067175" y="0"/>
          <a:ext cx="95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266700</xdr:colOff>
      <xdr:row>12</xdr:row>
      <xdr:rowOff>133350</xdr:rowOff>
    </xdr:from>
    <xdr:to>
      <xdr:col>5</xdr:col>
      <xdr:colOff>676275</xdr:colOff>
      <xdr:row>14</xdr:row>
      <xdr:rowOff>28575</xdr:rowOff>
    </xdr:to>
    <xdr:sp macro="" textlink="" fLocksText="0">
      <xdr:nvSpPr>
        <xdr:cNvPr id="4099" name="AutoShape 36">
          <a:extLst>
            <a:ext uri="{FF2B5EF4-FFF2-40B4-BE49-F238E27FC236}">
              <a16:creationId xmlns="" xmlns:a16="http://schemas.microsoft.com/office/drawing/2014/main" id="{00000000-0008-0000-0200-000003100000}"/>
            </a:ext>
          </a:extLst>
        </xdr:cNvPr>
        <xdr:cNvSpPr>
          <a:spLocks noChangeArrowheads="1"/>
        </xdr:cNvSpPr>
      </xdr:nvSpPr>
      <xdr:spPr bwMode="auto">
        <a:xfrm>
          <a:off x="2209800" y="3095625"/>
          <a:ext cx="1123950" cy="2000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133350</xdr:colOff>
      <xdr:row>15</xdr:row>
      <xdr:rowOff>133350</xdr:rowOff>
    </xdr:to>
    <xdr:sp macro="" textlink="">
      <xdr:nvSpPr>
        <xdr:cNvPr id="4300" name="AutoShape 39">
          <a:extLst>
            <a:ext uri="{FF2B5EF4-FFF2-40B4-BE49-F238E27FC236}">
              <a16:creationId xmlns="" xmlns:a16="http://schemas.microsoft.com/office/drawing/2014/main" id="{00000000-0008-0000-0200-0000CC100000}"/>
            </a:ext>
          </a:extLst>
        </xdr:cNvPr>
        <xdr:cNvSpPr>
          <a:spLocks noChangeArrowheads="1"/>
        </xdr:cNvSpPr>
      </xdr:nvSpPr>
      <xdr:spPr bwMode="auto">
        <a:xfrm>
          <a:off x="2657475" y="3324225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133350</xdr:colOff>
      <xdr:row>12</xdr:row>
      <xdr:rowOff>95250</xdr:rowOff>
    </xdr:to>
    <xdr:sp macro="" textlink="">
      <xdr:nvSpPr>
        <xdr:cNvPr id="4301" name="AutoShape 40">
          <a:extLst>
            <a:ext uri="{FF2B5EF4-FFF2-40B4-BE49-F238E27FC236}">
              <a16:creationId xmlns="" xmlns:a16="http://schemas.microsoft.com/office/drawing/2014/main" id="{00000000-0008-0000-0200-0000CD100000}"/>
            </a:ext>
          </a:extLst>
        </xdr:cNvPr>
        <xdr:cNvSpPr>
          <a:spLocks noChangeArrowheads="1"/>
        </xdr:cNvSpPr>
      </xdr:nvSpPr>
      <xdr:spPr bwMode="auto">
        <a:xfrm rot="10800000">
          <a:off x="2657475" y="2819400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152400</xdr:colOff>
      <xdr:row>12</xdr:row>
      <xdr:rowOff>123825</xdr:rowOff>
    </xdr:from>
    <xdr:to>
      <xdr:col>11</xdr:col>
      <xdr:colOff>561975</xdr:colOff>
      <xdr:row>14</xdr:row>
      <xdr:rowOff>19050</xdr:rowOff>
    </xdr:to>
    <xdr:sp macro="" textlink="" fLocksText="0">
      <xdr:nvSpPr>
        <xdr:cNvPr id="4102" name="AutoShape 41">
          <a:extLst>
            <a:ext uri="{FF2B5EF4-FFF2-40B4-BE49-F238E27FC236}">
              <a16:creationId xmlns="" xmlns:a16="http://schemas.microsoft.com/office/drawing/2014/main" id="{00000000-0008-0000-0200-000006100000}"/>
            </a:ext>
          </a:extLst>
        </xdr:cNvPr>
        <xdr:cNvSpPr>
          <a:spLocks noChangeArrowheads="1"/>
        </xdr:cNvSpPr>
      </xdr:nvSpPr>
      <xdr:spPr bwMode="auto">
        <a:xfrm>
          <a:off x="5448300" y="3086100"/>
          <a:ext cx="1123950" cy="2000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657225</xdr:colOff>
      <xdr:row>14</xdr:row>
      <xdr:rowOff>57150</xdr:rowOff>
    </xdr:from>
    <xdr:to>
      <xdr:col>11</xdr:col>
      <xdr:colOff>76200</xdr:colOff>
      <xdr:row>15</xdr:row>
      <xdr:rowOff>133350</xdr:rowOff>
    </xdr:to>
    <xdr:sp macro="" textlink="">
      <xdr:nvSpPr>
        <xdr:cNvPr id="4303" name="AutoShape 42">
          <a:extLst>
            <a:ext uri="{FF2B5EF4-FFF2-40B4-BE49-F238E27FC236}">
              <a16:creationId xmlns="" xmlns:a16="http://schemas.microsoft.com/office/drawing/2014/main" id="{00000000-0008-0000-0200-0000CF100000}"/>
            </a:ext>
          </a:extLst>
        </xdr:cNvPr>
        <xdr:cNvSpPr>
          <a:spLocks noChangeArrowheads="1"/>
        </xdr:cNvSpPr>
      </xdr:nvSpPr>
      <xdr:spPr bwMode="auto">
        <a:xfrm>
          <a:off x="5953125" y="3324225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657225</xdr:colOff>
      <xdr:row>11</xdr:row>
      <xdr:rowOff>9525</xdr:rowOff>
    </xdr:from>
    <xdr:to>
      <xdr:col>11</xdr:col>
      <xdr:colOff>76200</xdr:colOff>
      <xdr:row>12</xdr:row>
      <xdr:rowOff>85725</xdr:rowOff>
    </xdr:to>
    <xdr:sp macro="" textlink="">
      <xdr:nvSpPr>
        <xdr:cNvPr id="4304" name="AutoShape 43">
          <a:extLst>
            <a:ext uri="{FF2B5EF4-FFF2-40B4-BE49-F238E27FC236}">
              <a16:creationId xmlns="" xmlns:a16="http://schemas.microsoft.com/office/drawing/2014/main" id="{00000000-0008-0000-0200-0000D0100000}"/>
            </a:ext>
          </a:extLst>
        </xdr:cNvPr>
        <xdr:cNvSpPr>
          <a:spLocks noChangeArrowheads="1"/>
        </xdr:cNvSpPr>
      </xdr:nvSpPr>
      <xdr:spPr bwMode="auto">
        <a:xfrm rot="10800000">
          <a:off x="5953125" y="2809875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0</xdr:row>
      <xdr:rowOff>57150</xdr:rowOff>
    </xdr:from>
    <xdr:to>
      <xdr:col>16</xdr:col>
      <xdr:colOff>171450</xdr:colOff>
      <xdr:row>3</xdr:row>
      <xdr:rowOff>1200150</xdr:rowOff>
    </xdr:to>
    <xdr:pic>
      <xdr:nvPicPr>
        <xdr:cNvPr id="4305" name="Picture 49">
          <a:extLst>
            <a:ext uri="{FF2B5EF4-FFF2-40B4-BE49-F238E27FC236}">
              <a16:creationId xmlns="" xmlns:a16="http://schemas.microsoft.com/office/drawing/2014/main" id="{00000000-0008-0000-0200-0000D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57150"/>
          <a:ext cx="1695450" cy="1628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133350</xdr:rowOff>
    </xdr:from>
    <xdr:to>
      <xdr:col>3</xdr:col>
      <xdr:colOff>171450</xdr:colOff>
      <xdr:row>3</xdr:row>
      <xdr:rowOff>1047750</xdr:rowOff>
    </xdr:to>
    <xdr:pic>
      <xdr:nvPicPr>
        <xdr:cNvPr id="4306" name="Picture 50">
          <a:extLst>
            <a:ext uri="{FF2B5EF4-FFF2-40B4-BE49-F238E27FC236}">
              <a16:creationId xmlns="" xmlns:a16="http://schemas.microsoft.com/office/drawing/2014/main" id="{00000000-0008-0000-0200-0000D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33350"/>
          <a:ext cx="1790700" cy="1400175"/>
        </a:xfrm>
        <a:prstGeom prst="rect">
          <a:avLst/>
        </a:prstGeom>
        <a:solidFill>
          <a:srgbClr val="0000FF"/>
        </a:solidFill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819150</xdr:colOff>
      <xdr:row>0</xdr:row>
      <xdr:rowOff>104775</xdr:rowOff>
    </xdr:from>
    <xdr:to>
      <xdr:col>12</xdr:col>
      <xdr:colOff>981075</xdr:colOff>
      <xdr:row>3</xdr:row>
      <xdr:rowOff>161925</xdr:rowOff>
    </xdr:to>
    <xdr:pic>
      <xdr:nvPicPr>
        <xdr:cNvPr id="5861" name="Picture 2">
          <a:extLst>
            <a:ext uri="{FF2B5EF4-FFF2-40B4-BE49-F238E27FC236}">
              <a16:creationId xmlns="" xmlns:a16="http://schemas.microsoft.com/office/drawing/2014/main" id="{00000000-0008-0000-0300-0000E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104775"/>
          <a:ext cx="1362075" cy="1304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266700</xdr:colOff>
      <xdr:row>1</xdr:row>
      <xdr:rowOff>38100</xdr:rowOff>
    </xdr:from>
    <xdr:to>
      <xdr:col>2</xdr:col>
      <xdr:colOff>95250</xdr:colOff>
      <xdr:row>2</xdr:row>
      <xdr:rowOff>847725</xdr:rowOff>
    </xdr:to>
    <xdr:pic>
      <xdr:nvPicPr>
        <xdr:cNvPr id="5862" name="Picture 4">
          <a:extLst>
            <a:ext uri="{FF2B5EF4-FFF2-40B4-BE49-F238E27FC236}">
              <a16:creationId xmlns="" xmlns:a16="http://schemas.microsoft.com/office/drawing/2014/main" id="{00000000-0008-0000-03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228600"/>
          <a:ext cx="1276350" cy="1000125"/>
        </a:xfrm>
        <a:prstGeom prst="rect">
          <a:avLst/>
        </a:prstGeom>
        <a:solidFill>
          <a:srgbClr val="0000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</xdr:colOff>
      <xdr:row>46</xdr:row>
      <xdr:rowOff>161925</xdr:rowOff>
    </xdr:from>
    <xdr:to>
      <xdr:col>4</xdr:col>
      <xdr:colOff>1266825</xdr:colOff>
      <xdr:row>51</xdr:row>
      <xdr:rowOff>104775</xdr:rowOff>
    </xdr:to>
    <xdr:grpSp>
      <xdr:nvGrpSpPr>
        <xdr:cNvPr id="5863" name="Group 19">
          <a:extLst>
            <a:ext uri="{FF2B5EF4-FFF2-40B4-BE49-F238E27FC236}">
              <a16:creationId xmlns="" xmlns:a16="http://schemas.microsoft.com/office/drawing/2014/main" id="{00000000-0008-0000-0300-0000E7160000}"/>
            </a:ext>
          </a:extLst>
        </xdr:cNvPr>
        <xdr:cNvGrpSpPr>
          <a:grpSpLocks/>
        </xdr:cNvGrpSpPr>
      </xdr:nvGrpSpPr>
      <xdr:grpSpPr bwMode="auto">
        <a:xfrm>
          <a:off x="1209675" y="12525375"/>
          <a:ext cx="1943100" cy="1847850"/>
          <a:chOff x="2006" y="19594"/>
          <a:chExt cx="3213" cy="2895"/>
        </a:xfrm>
      </xdr:grpSpPr>
      <xdr:grpSp>
        <xdr:nvGrpSpPr>
          <xdr:cNvPr id="5884" name="Group 11">
            <a:extLst>
              <a:ext uri="{FF2B5EF4-FFF2-40B4-BE49-F238E27FC236}">
                <a16:creationId xmlns="" xmlns:a16="http://schemas.microsoft.com/office/drawing/2014/main" id="{00000000-0008-0000-0300-0000FC160000}"/>
              </a:ext>
            </a:extLst>
          </xdr:cNvPr>
          <xdr:cNvGrpSpPr>
            <a:grpSpLocks/>
          </xdr:cNvGrpSpPr>
        </xdr:nvGrpSpPr>
        <xdr:grpSpPr bwMode="auto">
          <a:xfrm>
            <a:off x="2048" y="19594"/>
            <a:ext cx="3172" cy="1138"/>
            <a:chOff x="2048" y="19594"/>
            <a:chExt cx="3172" cy="1138"/>
          </a:xfrm>
        </xdr:grpSpPr>
        <xdr:sp macro="" textlink="" fLocksText="0">
          <xdr:nvSpPr>
            <xdr:cNvPr id="5125" name="Text Box 5">
              <a:extLst>
                <a:ext uri="{FF2B5EF4-FFF2-40B4-BE49-F238E27FC236}">
                  <a16:creationId xmlns="" xmlns:a16="http://schemas.microsoft.com/office/drawing/2014/main" id="{00000000-0008-0000-0300-0000051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53" y="19594"/>
              <a:ext cx="2532" cy="44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GRUBU 1. CİSİ</a:t>
              </a:r>
            </a:p>
          </xdr:txBody>
        </xdr:sp>
        <xdr:sp macro="" textlink="" fLocksText="0">
          <xdr:nvSpPr>
            <xdr:cNvPr id="5126" name="Text Box 6">
              <a:extLst>
                <a:ext uri="{FF2B5EF4-FFF2-40B4-BE49-F238E27FC236}">
                  <a16:creationId xmlns="" xmlns:a16="http://schemas.microsoft.com/office/drawing/2014/main" id="{00000000-0008-0000-0300-0000061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53" y="20280"/>
              <a:ext cx="2532" cy="44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 GRUBU 1. CİSİ</a:t>
              </a:r>
            </a:p>
          </xdr:txBody>
        </xdr:sp>
        <xdr:grpSp>
          <xdr:nvGrpSpPr>
            <xdr:cNvPr id="5894" name="Group 10">
              <a:extLst>
                <a:ext uri="{FF2B5EF4-FFF2-40B4-BE49-F238E27FC236}">
                  <a16:creationId xmlns="" xmlns:a16="http://schemas.microsoft.com/office/drawing/2014/main" id="{00000000-0008-0000-0300-0000061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13" y="19770"/>
              <a:ext cx="606" cy="728"/>
              <a:chOff x="4613" y="19770"/>
              <a:chExt cx="606" cy="728"/>
            </a:xfrm>
          </xdr:grpSpPr>
          <xdr:sp macro="" textlink="">
            <xdr:nvSpPr>
              <xdr:cNvPr id="5895" name="Line 7">
                <a:extLst>
                  <a:ext uri="{FF2B5EF4-FFF2-40B4-BE49-F238E27FC236}">
                    <a16:creationId xmlns="" xmlns:a16="http://schemas.microsoft.com/office/drawing/2014/main" id="{00000000-0008-0000-0300-00000717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13" y="19770"/>
                <a:ext cx="550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6" name="Line 8">
                <a:extLst>
                  <a:ext uri="{FF2B5EF4-FFF2-40B4-BE49-F238E27FC236}">
                    <a16:creationId xmlns="" xmlns:a16="http://schemas.microsoft.com/office/drawing/2014/main" id="{00000000-0008-0000-0300-00000817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13" y="20499"/>
                <a:ext cx="550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7" name="Line 9">
                <a:extLst>
                  <a:ext uri="{FF2B5EF4-FFF2-40B4-BE49-F238E27FC236}">
                    <a16:creationId xmlns="" xmlns:a16="http://schemas.microsoft.com/office/drawing/2014/main" id="{00000000-0008-0000-0300-00000917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5206" y="19801"/>
                <a:ext cx="14" cy="693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5885" name="Group 12">
            <a:extLst>
              <a:ext uri="{FF2B5EF4-FFF2-40B4-BE49-F238E27FC236}">
                <a16:creationId xmlns="" xmlns:a16="http://schemas.microsoft.com/office/drawing/2014/main" id="{00000000-0008-0000-0300-0000FD160000}"/>
              </a:ext>
            </a:extLst>
          </xdr:cNvPr>
          <xdr:cNvGrpSpPr>
            <a:grpSpLocks/>
          </xdr:cNvGrpSpPr>
        </xdr:nvGrpSpPr>
        <xdr:grpSpPr bwMode="auto">
          <a:xfrm>
            <a:off x="2006" y="21351"/>
            <a:ext cx="3162" cy="1139"/>
            <a:chOff x="2006" y="21351"/>
            <a:chExt cx="3162" cy="1139"/>
          </a:xfrm>
        </xdr:grpSpPr>
        <xdr:sp macro="" textlink="" fLocksText="0">
          <xdr:nvSpPr>
            <xdr:cNvPr id="5132" name="Text Box 13">
              <a:extLst>
                <a:ext uri="{FF2B5EF4-FFF2-40B4-BE49-F238E27FC236}">
                  <a16:creationId xmlns="" xmlns:a16="http://schemas.microsoft.com/office/drawing/2014/main" id="{00000000-0008-0000-0300-00000C1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06" y="21355"/>
              <a:ext cx="2532" cy="433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 GRUBU 1. CİSİ</a:t>
              </a:r>
            </a:p>
          </xdr:txBody>
        </xdr:sp>
        <xdr:sp macro="" textlink="" fLocksText="0">
          <xdr:nvSpPr>
            <xdr:cNvPr id="5133" name="Text Box 14">
              <a:extLst>
                <a:ext uri="{FF2B5EF4-FFF2-40B4-BE49-F238E27FC236}">
                  <a16:creationId xmlns="" xmlns:a16="http://schemas.microsoft.com/office/drawing/2014/main" id="{00000000-0008-0000-0300-00000D1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06" y="22041"/>
              <a:ext cx="2532" cy="44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 GRUBU 1. CİSİ</a:t>
              </a:r>
            </a:p>
          </xdr:txBody>
        </xdr:sp>
        <xdr:grpSp>
          <xdr:nvGrpSpPr>
            <xdr:cNvPr id="5888" name="Group 15">
              <a:extLst>
                <a:ext uri="{FF2B5EF4-FFF2-40B4-BE49-F238E27FC236}">
                  <a16:creationId xmlns="" xmlns:a16="http://schemas.microsoft.com/office/drawing/2014/main" id="{00000000-0008-0000-0300-0000001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5" y="21527"/>
              <a:ext cx="604" cy="729"/>
              <a:chOff x="4565" y="21527"/>
              <a:chExt cx="604" cy="729"/>
            </a:xfrm>
          </xdr:grpSpPr>
          <xdr:sp macro="" textlink="">
            <xdr:nvSpPr>
              <xdr:cNvPr id="5889" name="Line 16">
                <a:extLst>
                  <a:ext uri="{FF2B5EF4-FFF2-40B4-BE49-F238E27FC236}">
                    <a16:creationId xmlns="" xmlns:a16="http://schemas.microsoft.com/office/drawing/2014/main" id="{00000000-0008-0000-0300-00000117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565" y="21527"/>
                <a:ext cx="549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0" name="Line 17">
                <a:extLst>
                  <a:ext uri="{FF2B5EF4-FFF2-40B4-BE49-F238E27FC236}">
                    <a16:creationId xmlns="" xmlns:a16="http://schemas.microsoft.com/office/drawing/2014/main" id="{00000000-0008-0000-0300-00000217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565" y="22257"/>
                <a:ext cx="549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1" name="Line 18">
                <a:extLst>
                  <a:ext uri="{FF2B5EF4-FFF2-40B4-BE49-F238E27FC236}">
                    <a16:creationId xmlns="" xmlns:a16="http://schemas.microsoft.com/office/drawing/2014/main" id="{00000000-0008-0000-0300-00000317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5156" y="21559"/>
                <a:ext cx="13" cy="694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8</xdr:col>
      <xdr:colOff>0</xdr:colOff>
      <xdr:row>46</xdr:row>
      <xdr:rowOff>257175</xdr:rowOff>
    </xdr:from>
    <xdr:to>
      <xdr:col>11</xdr:col>
      <xdr:colOff>1190625</xdr:colOff>
      <xdr:row>48</xdr:row>
      <xdr:rowOff>219075</xdr:rowOff>
    </xdr:to>
    <xdr:grpSp>
      <xdr:nvGrpSpPr>
        <xdr:cNvPr id="5864" name="Group 35">
          <a:extLst>
            <a:ext uri="{FF2B5EF4-FFF2-40B4-BE49-F238E27FC236}">
              <a16:creationId xmlns="" xmlns:a16="http://schemas.microsoft.com/office/drawing/2014/main" id="{00000000-0008-0000-0300-0000E8160000}"/>
            </a:ext>
          </a:extLst>
        </xdr:cNvPr>
        <xdr:cNvGrpSpPr>
          <a:grpSpLocks/>
        </xdr:cNvGrpSpPr>
      </xdr:nvGrpSpPr>
      <xdr:grpSpPr bwMode="auto">
        <a:xfrm>
          <a:off x="5600700" y="12620625"/>
          <a:ext cx="1876425" cy="723900"/>
          <a:chOff x="9209" y="19743"/>
          <a:chExt cx="3101" cy="1140"/>
        </a:xfrm>
      </xdr:grpSpPr>
      <xdr:sp macro="" textlink="" fLocksText="0">
        <xdr:nvSpPr>
          <xdr:cNvPr id="5139" name="Text Box 22">
            <a:extLst>
              <a:ext uri="{FF2B5EF4-FFF2-40B4-BE49-F238E27FC236}">
                <a16:creationId xmlns="" xmlns:a16="http://schemas.microsoft.com/office/drawing/2014/main" id="{00000000-0008-0000-0300-000013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94" y="19743"/>
            <a:ext cx="2516" cy="45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E GRUBU 1. CİSİ</a:t>
            </a:r>
          </a:p>
        </xdr:txBody>
      </xdr:sp>
      <xdr:sp macro="" textlink="" fLocksText="0">
        <xdr:nvSpPr>
          <xdr:cNvPr id="5140" name="Text Box 23">
            <a:extLst>
              <a:ext uri="{FF2B5EF4-FFF2-40B4-BE49-F238E27FC236}">
                <a16:creationId xmlns="" xmlns:a16="http://schemas.microsoft.com/office/drawing/2014/main" id="{00000000-0008-0000-0300-000014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94" y="20448"/>
            <a:ext cx="2516" cy="43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(EN İYİ 2)  1. CİSİ</a:t>
            </a:r>
          </a:p>
        </xdr:txBody>
      </xdr:sp>
      <xdr:sp macro="" textlink="">
        <xdr:nvSpPr>
          <xdr:cNvPr id="5881" name="Line 25">
            <a:extLst>
              <a:ext uri="{FF2B5EF4-FFF2-40B4-BE49-F238E27FC236}">
                <a16:creationId xmlns="" xmlns:a16="http://schemas.microsoft.com/office/drawing/2014/main" id="{00000000-0008-0000-0300-0000F9160000}"/>
              </a:ext>
            </a:extLst>
          </xdr:cNvPr>
          <xdr:cNvSpPr>
            <a:spLocks noChangeShapeType="1"/>
          </xdr:cNvSpPr>
        </xdr:nvSpPr>
        <xdr:spPr bwMode="auto">
          <a:xfrm>
            <a:off x="9209" y="19869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82" name="Line 26">
            <a:extLst>
              <a:ext uri="{FF2B5EF4-FFF2-40B4-BE49-F238E27FC236}">
                <a16:creationId xmlns="" xmlns:a16="http://schemas.microsoft.com/office/drawing/2014/main" id="{00000000-0008-0000-0300-0000FA160000}"/>
              </a:ext>
            </a:extLst>
          </xdr:cNvPr>
          <xdr:cNvSpPr>
            <a:spLocks noChangeShapeType="1"/>
          </xdr:cNvSpPr>
        </xdr:nvSpPr>
        <xdr:spPr bwMode="auto">
          <a:xfrm>
            <a:off x="9209" y="20608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83" name="Line 27">
            <a:extLst>
              <a:ext uri="{FF2B5EF4-FFF2-40B4-BE49-F238E27FC236}">
                <a16:creationId xmlns="" xmlns:a16="http://schemas.microsoft.com/office/drawing/2014/main" id="{00000000-0008-0000-0300-0000FB16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209" y="19878"/>
            <a:ext cx="14" cy="71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0</xdr:colOff>
      <xdr:row>49</xdr:row>
      <xdr:rowOff>142875</xdr:rowOff>
    </xdr:from>
    <xdr:to>
      <xdr:col>11</xdr:col>
      <xdr:colOff>1190625</xdr:colOff>
      <xdr:row>51</xdr:row>
      <xdr:rowOff>104775</xdr:rowOff>
    </xdr:to>
    <xdr:grpSp>
      <xdr:nvGrpSpPr>
        <xdr:cNvPr id="5865" name="Group 36">
          <a:extLst>
            <a:ext uri="{FF2B5EF4-FFF2-40B4-BE49-F238E27FC236}">
              <a16:creationId xmlns="" xmlns:a16="http://schemas.microsoft.com/office/drawing/2014/main" id="{00000000-0008-0000-0300-0000E9160000}"/>
            </a:ext>
          </a:extLst>
        </xdr:cNvPr>
        <xdr:cNvGrpSpPr>
          <a:grpSpLocks/>
        </xdr:cNvGrpSpPr>
      </xdr:nvGrpSpPr>
      <xdr:grpSpPr bwMode="auto">
        <a:xfrm>
          <a:off x="5600700" y="13649325"/>
          <a:ext cx="1876425" cy="723900"/>
          <a:chOff x="9209" y="21357"/>
          <a:chExt cx="3101" cy="1140"/>
        </a:xfrm>
      </xdr:grpSpPr>
      <xdr:sp macro="" textlink="" fLocksText="0">
        <xdr:nvSpPr>
          <xdr:cNvPr id="5145" name="Text Box 37">
            <a:extLst>
              <a:ext uri="{FF2B5EF4-FFF2-40B4-BE49-F238E27FC236}">
                <a16:creationId xmlns="" xmlns:a16="http://schemas.microsoft.com/office/drawing/2014/main" id="{00000000-0008-0000-0300-000019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94" y="21357"/>
            <a:ext cx="2516" cy="45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F GRUBU 1. CİSİ</a:t>
            </a:r>
          </a:p>
        </xdr:txBody>
      </xdr:sp>
      <xdr:sp macro="" textlink="" fLocksText="0">
        <xdr:nvSpPr>
          <xdr:cNvPr id="5146" name="Text Box 38">
            <a:extLst>
              <a:ext uri="{FF2B5EF4-FFF2-40B4-BE49-F238E27FC236}">
                <a16:creationId xmlns="" xmlns:a16="http://schemas.microsoft.com/office/drawing/2014/main" id="{00000000-0008-0000-0300-00001A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94" y="22047"/>
            <a:ext cx="2516" cy="45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(EN İYİ 2)  2. CİSİ</a:t>
            </a:r>
          </a:p>
        </xdr:txBody>
      </xdr:sp>
      <xdr:sp macro="" textlink="">
        <xdr:nvSpPr>
          <xdr:cNvPr id="5876" name="Line 39">
            <a:extLst>
              <a:ext uri="{FF2B5EF4-FFF2-40B4-BE49-F238E27FC236}">
                <a16:creationId xmlns="" xmlns:a16="http://schemas.microsoft.com/office/drawing/2014/main" id="{00000000-0008-0000-0300-0000F4160000}"/>
              </a:ext>
            </a:extLst>
          </xdr:cNvPr>
          <xdr:cNvSpPr>
            <a:spLocks noChangeShapeType="1"/>
          </xdr:cNvSpPr>
        </xdr:nvSpPr>
        <xdr:spPr bwMode="auto">
          <a:xfrm>
            <a:off x="9209" y="21483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77" name="Line 40">
            <a:extLst>
              <a:ext uri="{FF2B5EF4-FFF2-40B4-BE49-F238E27FC236}">
                <a16:creationId xmlns="" xmlns:a16="http://schemas.microsoft.com/office/drawing/2014/main" id="{00000000-0008-0000-0300-0000F5160000}"/>
              </a:ext>
            </a:extLst>
          </xdr:cNvPr>
          <xdr:cNvSpPr>
            <a:spLocks noChangeShapeType="1"/>
          </xdr:cNvSpPr>
        </xdr:nvSpPr>
        <xdr:spPr bwMode="auto">
          <a:xfrm>
            <a:off x="9209" y="22220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78" name="Line 41">
            <a:extLst>
              <a:ext uri="{FF2B5EF4-FFF2-40B4-BE49-F238E27FC236}">
                <a16:creationId xmlns="" xmlns:a16="http://schemas.microsoft.com/office/drawing/2014/main" id="{00000000-0008-0000-0300-0000F616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209" y="21490"/>
            <a:ext cx="14" cy="71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47</xdr:row>
      <xdr:rowOff>104775</xdr:rowOff>
    </xdr:from>
    <xdr:to>
      <xdr:col>5</xdr:col>
      <xdr:colOff>790575</xdr:colOff>
      <xdr:row>47</xdr:row>
      <xdr:rowOff>104775</xdr:rowOff>
    </xdr:to>
    <xdr:sp macro="" textlink="">
      <xdr:nvSpPr>
        <xdr:cNvPr id="5866" name="Line 42">
          <a:extLst>
            <a:ext uri="{FF2B5EF4-FFF2-40B4-BE49-F238E27FC236}">
              <a16:creationId xmlns="" xmlns:a16="http://schemas.microsoft.com/office/drawing/2014/main" id="{00000000-0008-0000-0300-0000EA160000}"/>
            </a:ext>
          </a:extLst>
        </xdr:cNvPr>
        <xdr:cNvSpPr>
          <a:spLocks noChangeShapeType="1"/>
        </xdr:cNvSpPr>
      </xdr:nvSpPr>
      <xdr:spPr bwMode="auto">
        <a:xfrm>
          <a:off x="3162300" y="12763500"/>
          <a:ext cx="790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50</xdr:row>
      <xdr:rowOff>123825</xdr:rowOff>
    </xdr:from>
    <xdr:to>
      <xdr:col>5</xdr:col>
      <xdr:colOff>800100</xdr:colOff>
      <xdr:row>50</xdr:row>
      <xdr:rowOff>123825</xdr:rowOff>
    </xdr:to>
    <xdr:sp macro="" textlink="">
      <xdr:nvSpPr>
        <xdr:cNvPr id="5867" name="Line 43">
          <a:extLst>
            <a:ext uri="{FF2B5EF4-FFF2-40B4-BE49-F238E27FC236}">
              <a16:creationId xmlns="" xmlns:a16="http://schemas.microsoft.com/office/drawing/2014/main" id="{00000000-0008-0000-0300-0000EB160000}"/>
            </a:ext>
          </a:extLst>
        </xdr:cNvPr>
        <xdr:cNvSpPr>
          <a:spLocks noChangeShapeType="1"/>
        </xdr:cNvSpPr>
      </xdr:nvSpPr>
      <xdr:spPr bwMode="auto">
        <a:xfrm>
          <a:off x="3162300" y="13925550"/>
          <a:ext cx="8001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50</xdr:row>
      <xdr:rowOff>47625</xdr:rowOff>
    </xdr:from>
    <xdr:to>
      <xdr:col>7</xdr:col>
      <xdr:colOff>1171575</xdr:colOff>
      <xdr:row>50</xdr:row>
      <xdr:rowOff>47625</xdr:rowOff>
    </xdr:to>
    <xdr:sp macro="" textlink="">
      <xdr:nvSpPr>
        <xdr:cNvPr id="5868" name="Line 44">
          <a:extLst>
            <a:ext uri="{FF2B5EF4-FFF2-40B4-BE49-F238E27FC236}">
              <a16:creationId xmlns="" xmlns:a16="http://schemas.microsoft.com/office/drawing/2014/main" id="{00000000-0008-0000-0300-0000EC160000}"/>
            </a:ext>
          </a:extLst>
        </xdr:cNvPr>
        <xdr:cNvSpPr>
          <a:spLocks noChangeShapeType="1"/>
        </xdr:cNvSpPr>
      </xdr:nvSpPr>
      <xdr:spPr bwMode="auto">
        <a:xfrm>
          <a:off x="4829175" y="13849350"/>
          <a:ext cx="723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47</xdr:row>
      <xdr:rowOff>114300</xdr:rowOff>
    </xdr:from>
    <xdr:to>
      <xdr:col>7</xdr:col>
      <xdr:colOff>1171575</xdr:colOff>
      <xdr:row>47</xdr:row>
      <xdr:rowOff>114300</xdr:rowOff>
    </xdr:to>
    <xdr:sp macro="" textlink="">
      <xdr:nvSpPr>
        <xdr:cNvPr id="5869" name="Line 45">
          <a:extLst>
            <a:ext uri="{FF2B5EF4-FFF2-40B4-BE49-F238E27FC236}">
              <a16:creationId xmlns="" xmlns:a16="http://schemas.microsoft.com/office/drawing/2014/main" id="{00000000-0008-0000-0300-0000ED160000}"/>
            </a:ext>
          </a:extLst>
        </xdr:cNvPr>
        <xdr:cNvSpPr>
          <a:spLocks noChangeShapeType="1"/>
        </xdr:cNvSpPr>
      </xdr:nvSpPr>
      <xdr:spPr bwMode="auto">
        <a:xfrm>
          <a:off x="4829175" y="12773025"/>
          <a:ext cx="723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47</xdr:row>
      <xdr:rowOff>114300</xdr:rowOff>
    </xdr:from>
    <xdr:to>
      <xdr:col>5</xdr:col>
      <xdr:colOff>771525</xdr:colOff>
      <xdr:row>50</xdr:row>
      <xdr:rowOff>123825</xdr:rowOff>
    </xdr:to>
    <xdr:sp macro="" textlink="">
      <xdr:nvSpPr>
        <xdr:cNvPr id="5870" name="Line 46">
          <a:extLst>
            <a:ext uri="{FF2B5EF4-FFF2-40B4-BE49-F238E27FC236}">
              <a16:creationId xmlns="" xmlns:a16="http://schemas.microsoft.com/office/drawing/2014/main" id="{00000000-0008-0000-0300-0000EE160000}"/>
            </a:ext>
          </a:extLst>
        </xdr:cNvPr>
        <xdr:cNvSpPr>
          <a:spLocks noChangeShapeType="1"/>
        </xdr:cNvSpPr>
      </xdr:nvSpPr>
      <xdr:spPr bwMode="auto">
        <a:xfrm>
          <a:off x="3933825" y="12773025"/>
          <a:ext cx="0" cy="1152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47</xdr:row>
      <xdr:rowOff>114300</xdr:rowOff>
    </xdr:from>
    <xdr:to>
      <xdr:col>7</xdr:col>
      <xdr:colOff>457200</xdr:colOff>
      <xdr:row>50</xdr:row>
      <xdr:rowOff>28575</xdr:rowOff>
    </xdr:to>
    <xdr:sp macro="" textlink="">
      <xdr:nvSpPr>
        <xdr:cNvPr id="5871" name="Line 47">
          <a:extLst>
            <a:ext uri="{FF2B5EF4-FFF2-40B4-BE49-F238E27FC236}">
              <a16:creationId xmlns="" xmlns:a16="http://schemas.microsoft.com/office/drawing/2014/main" id="{00000000-0008-0000-0300-0000EF160000}"/>
            </a:ext>
          </a:extLst>
        </xdr:cNvPr>
        <xdr:cNvSpPr>
          <a:spLocks noChangeShapeType="1"/>
        </xdr:cNvSpPr>
      </xdr:nvSpPr>
      <xdr:spPr bwMode="auto">
        <a:xfrm>
          <a:off x="4829175" y="12773025"/>
          <a:ext cx="9525" cy="10572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762000</xdr:colOff>
      <xdr:row>48</xdr:row>
      <xdr:rowOff>285750</xdr:rowOff>
    </xdr:from>
    <xdr:to>
      <xdr:col>7</xdr:col>
      <xdr:colOff>438150</xdr:colOff>
      <xdr:row>48</xdr:row>
      <xdr:rowOff>285750</xdr:rowOff>
    </xdr:to>
    <xdr:sp macro="" textlink="">
      <xdr:nvSpPr>
        <xdr:cNvPr id="5872" name="Line 48">
          <a:extLst>
            <a:ext uri="{FF2B5EF4-FFF2-40B4-BE49-F238E27FC236}">
              <a16:creationId xmlns="" xmlns:a16="http://schemas.microsoft.com/office/drawing/2014/main" id="{00000000-0008-0000-0300-0000F0160000}"/>
            </a:ext>
          </a:extLst>
        </xdr:cNvPr>
        <xdr:cNvSpPr>
          <a:spLocks noChangeShapeType="1"/>
        </xdr:cNvSpPr>
      </xdr:nvSpPr>
      <xdr:spPr bwMode="auto">
        <a:xfrm>
          <a:off x="3924300" y="13325475"/>
          <a:ext cx="8953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1009650</xdr:colOff>
      <xdr:row>48</xdr:row>
      <xdr:rowOff>171450</xdr:rowOff>
    </xdr:from>
    <xdr:ext cx="1308231" cy="136273"/>
    <xdr:sp macro="" textlink="" fLocksText="0">
      <xdr:nvSpPr>
        <xdr:cNvPr id="5157" name="Text Box 49">
          <a:extLst>
            <a:ext uri="{FF2B5EF4-FFF2-40B4-BE49-F238E27FC236}">
              <a16:creationId xmlns=""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2895600" y="13296900"/>
          <a:ext cx="1486976" cy="12653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tr-TR" sz="7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YARI FİNAL                        FİNAL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66675</xdr:rowOff>
    </xdr:from>
    <xdr:to>
      <xdr:col>15</xdr:col>
      <xdr:colOff>142875</xdr:colOff>
      <xdr:row>1</xdr:row>
      <xdr:rowOff>352425</xdr:rowOff>
    </xdr:to>
    <xdr:pic>
      <xdr:nvPicPr>
        <xdr:cNvPr id="6185" name="Picture 1">
          <a:extLst>
            <a:ext uri="{FF2B5EF4-FFF2-40B4-BE49-F238E27FC236}">
              <a16:creationId xmlns="" xmlns:a16="http://schemas.microsoft.com/office/drawing/2014/main" id="{00000000-0008-0000-0400-00002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0</xdr:col>
      <xdr:colOff>1190625</xdr:colOff>
      <xdr:row>1</xdr:row>
      <xdr:rowOff>238125</xdr:rowOff>
    </xdr:to>
    <xdr:pic>
      <xdr:nvPicPr>
        <xdr:cNvPr id="6186" name="Picture 2">
          <a:extLst>
            <a:ext uri="{FF2B5EF4-FFF2-40B4-BE49-F238E27FC236}">
              <a16:creationId xmlns="" xmlns:a16="http://schemas.microsoft.com/office/drawing/2014/main" id="{00000000-0008-0000-04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14300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66675</xdr:rowOff>
    </xdr:from>
    <xdr:to>
      <xdr:col>15</xdr:col>
      <xdr:colOff>161925</xdr:colOff>
      <xdr:row>1</xdr:row>
      <xdr:rowOff>352425</xdr:rowOff>
    </xdr:to>
    <xdr:pic>
      <xdr:nvPicPr>
        <xdr:cNvPr id="7209" name="Picture 1">
          <a:extLst>
            <a:ext uri="{FF2B5EF4-FFF2-40B4-BE49-F238E27FC236}">
              <a16:creationId xmlns="" xmlns:a16="http://schemas.microsoft.com/office/drawing/2014/main" id="{00000000-0008-0000-05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1247775</xdr:colOff>
      <xdr:row>1</xdr:row>
      <xdr:rowOff>228600</xdr:rowOff>
    </xdr:to>
    <xdr:pic>
      <xdr:nvPicPr>
        <xdr:cNvPr id="7210" name="Picture 2">
          <a:extLst>
            <a:ext uri="{FF2B5EF4-FFF2-40B4-BE49-F238E27FC236}">
              <a16:creationId xmlns="" xmlns:a16="http://schemas.microsoft.com/office/drawing/2014/main" id="{00000000-0008-0000-05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047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66675</xdr:rowOff>
    </xdr:from>
    <xdr:to>
      <xdr:col>15</xdr:col>
      <xdr:colOff>200025</xdr:colOff>
      <xdr:row>1</xdr:row>
      <xdr:rowOff>352425</xdr:rowOff>
    </xdr:to>
    <xdr:pic>
      <xdr:nvPicPr>
        <xdr:cNvPr id="8233" name="Picture 1">
          <a:extLst>
            <a:ext uri="{FF2B5EF4-FFF2-40B4-BE49-F238E27FC236}">
              <a16:creationId xmlns="" xmlns:a16="http://schemas.microsoft.com/office/drawing/2014/main" id="{00000000-0008-0000-06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1323975</xdr:colOff>
      <xdr:row>1</xdr:row>
      <xdr:rowOff>228600</xdr:rowOff>
    </xdr:to>
    <xdr:pic>
      <xdr:nvPicPr>
        <xdr:cNvPr id="8234" name="Picture 2">
          <a:extLst>
            <a:ext uri="{FF2B5EF4-FFF2-40B4-BE49-F238E27FC236}">
              <a16:creationId xmlns="" xmlns:a16="http://schemas.microsoft.com/office/drawing/2014/main" id="{00000000-0008-0000-06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1047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0</xdr:row>
      <xdr:rowOff>66675</xdr:rowOff>
    </xdr:from>
    <xdr:to>
      <xdr:col>15</xdr:col>
      <xdr:colOff>57150</xdr:colOff>
      <xdr:row>1</xdr:row>
      <xdr:rowOff>352425</xdr:rowOff>
    </xdr:to>
    <xdr:pic>
      <xdr:nvPicPr>
        <xdr:cNvPr id="9257" name="Picture 1">
          <a:extLst>
            <a:ext uri="{FF2B5EF4-FFF2-40B4-BE49-F238E27FC236}">
              <a16:creationId xmlns="" xmlns:a16="http://schemas.microsoft.com/office/drawing/2014/main" id="{00000000-0008-0000-07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1247775</xdr:colOff>
      <xdr:row>1</xdr:row>
      <xdr:rowOff>228600</xdr:rowOff>
    </xdr:to>
    <xdr:pic>
      <xdr:nvPicPr>
        <xdr:cNvPr id="9258" name="Picture 2">
          <a:extLst>
            <a:ext uri="{FF2B5EF4-FFF2-40B4-BE49-F238E27FC236}">
              <a16:creationId xmlns="" xmlns:a16="http://schemas.microsoft.com/office/drawing/2014/main" id="{00000000-0008-0000-07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047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0</xdr:row>
      <xdr:rowOff>66675</xdr:rowOff>
    </xdr:from>
    <xdr:to>
      <xdr:col>15</xdr:col>
      <xdr:colOff>123825</xdr:colOff>
      <xdr:row>1</xdr:row>
      <xdr:rowOff>352425</xdr:rowOff>
    </xdr:to>
    <xdr:pic>
      <xdr:nvPicPr>
        <xdr:cNvPr id="10281" name="Picture 1">
          <a:extLst>
            <a:ext uri="{FF2B5EF4-FFF2-40B4-BE49-F238E27FC236}">
              <a16:creationId xmlns="" xmlns:a16="http://schemas.microsoft.com/office/drawing/2014/main" id="{00000000-0008-0000-08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142875</xdr:rowOff>
    </xdr:from>
    <xdr:to>
      <xdr:col>0</xdr:col>
      <xdr:colOff>1266825</xdr:colOff>
      <xdr:row>1</xdr:row>
      <xdr:rowOff>266700</xdr:rowOff>
    </xdr:to>
    <xdr:pic>
      <xdr:nvPicPr>
        <xdr:cNvPr id="10282" name="Picture 2">
          <a:extLst>
            <a:ext uri="{FF2B5EF4-FFF2-40B4-BE49-F238E27FC236}">
              <a16:creationId xmlns="" xmlns:a16="http://schemas.microsoft.com/office/drawing/2014/main" id="{00000000-0008-0000-0800-00002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428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indexed="46"/>
  </sheetPr>
  <dimension ref="B2:BW57"/>
  <sheetViews>
    <sheetView view="pageBreakPreview" topLeftCell="G1" zoomScale="50" zoomScaleSheetLayoutView="50" workbookViewId="0">
      <selection activeCell="S28" sqref="S28"/>
    </sheetView>
  </sheetViews>
  <sheetFormatPr defaultColWidth="10.28515625" defaultRowHeight="12.75" x14ac:dyDescent="0.2"/>
  <cols>
    <col min="1" max="1" width="3.140625" style="1" customWidth="1"/>
    <col min="2" max="2" width="9.5703125" style="2" customWidth="1"/>
    <col min="3" max="3" width="19.7109375" style="1" customWidth="1"/>
    <col min="4" max="5" width="3.28515625" style="3" customWidth="1"/>
    <col min="6" max="6" width="23.140625" style="1" customWidth="1"/>
    <col min="7" max="7" width="8.85546875" style="1" customWidth="1"/>
    <col min="8" max="8" width="4.42578125" style="3" customWidth="1"/>
    <col min="9" max="9" width="4.5703125" style="3" customWidth="1"/>
    <col min="10" max="11" width="3" style="1" customWidth="1"/>
    <col min="12" max="12" width="22.28515625" style="1" customWidth="1"/>
    <col min="13" max="13" width="2.140625" style="1" customWidth="1"/>
    <col min="14" max="14" width="3.140625" style="1" customWidth="1"/>
    <col min="15" max="15" width="19.7109375" style="4" customWidth="1"/>
    <col min="16" max="27" width="3.85546875" style="1" customWidth="1"/>
    <col min="28" max="28" width="10.28515625" style="1"/>
    <col min="29" max="29" width="22.5703125" style="1" customWidth="1"/>
    <col min="30" max="45" width="2.140625" style="1" customWidth="1"/>
    <col min="46" max="46" width="10.7109375" style="1" customWidth="1"/>
    <col min="47" max="61" width="2.140625" style="1" customWidth="1"/>
    <col min="62" max="73" width="3.28515625" style="1" customWidth="1"/>
    <col min="74" max="74" width="12.42578125" style="1" customWidth="1"/>
    <col min="75" max="16384" width="10.28515625" style="1"/>
  </cols>
  <sheetData>
    <row r="2" spans="2:74" x14ac:dyDescent="0.2">
      <c r="B2" s="5">
        <v>38945</v>
      </c>
      <c r="C2" s="6" t="e">
        <f>#REF!</f>
        <v>#REF!</v>
      </c>
      <c r="D2" s="7" t="e">
        <f>IF(#REF!="","",#REF!)</f>
        <v>#REF!</v>
      </c>
      <c r="E2" s="7" t="e">
        <f>IF(#REF!="","",#REF!)</f>
        <v>#REF!</v>
      </c>
      <c r="F2" s="8" t="e">
        <f>#REF!</f>
        <v>#REF!</v>
      </c>
      <c r="G2" s="9" t="str">
        <f t="shared" ref="G2:G11" si="0">J2&amp;"-"&amp;K2</f>
        <v>1-2</v>
      </c>
      <c r="H2" s="10" t="e">
        <f t="shared" ref="H2:H11" si="1">IF(D2&lt;&gt;"",D2)</f>
        <v>#REF!</v>
      </c>
      <c r="I2" s="10" t="e">
        <f t="shared" ref="I2:I11" si="2">IF(E2&lt;&gt;"",E2)</f>
        <v>#REF!</v>
      </c>
      <c r="J2" s="11">
        <v>1</v>
      </c>
      <c r="K2" s="11">
        <v>2</v>
      </c>
      <c r="L2" s="4" t="e">
        <f>#REF!</f>
        <v>#REF!</v>
      </c>
      <c r="M2" s="9">
        <v>1</v>
      </c>
      <c r="V2" s="338" t="s">
        <v>0</v>
      </c>
      <c r="W2" s="338"/>
      <c r="X2" s="338"/>
      <c r="Y2" s="338"/>
      <c r="Z2" s="338"/>
      <c r="AB2" s="1">
        <v>1</v>
      </c>
      <c r="AC2" s="1">
        <v>2</v>
      </c>
      <c r="AD2" s="1">
        <v>3</v>
      </c>
      <c r="AE2" s="1">
        <v>4</v>
      </c>
      <c r="AF2" s="1">
        <v>5</v>
      </c>
      <c r="AG2" s="1">
        <v>6</v>
      </c>
      <c r="AH2" s="1">
        <v>7</v>
      </c>
      <c r="AI2" s="1">
        <v>8</v>
      </c>
      <c r="AJ2" s="1">
        <v>9</v>
      </c>
      <c r="AK2" s="1">
        <v>10</v>
      </c>
      <c r="AL2" s="1">
        <v>11</v>
      </c>
      <c r="AM2" s="1">
        <v>12</v>
      </c>
      <c r="AN2" s="1">
        <v>13</v>
      </c>
      <c r="AO2" s="1">
        <v>14</v>
      </c>
      <c r="AP2" s="1">
        <v>15</v>
      </c>
      <c r="AQ2" s="1">
        <v>16</v>
      </c>
      <c r="AR2" s="1">
        <v>17</v>
      </c>
      <c r="AS2" s="1">
        <v>18</v>
      </c>
      <c r="AT2" s="1">
        <v>19</v>
      </c>
      <c r="AU2" s="1">
        <v>20</v>
      </c>
      <c r="AV2" s="1">
        <v>21</v>
      </c>
      <c r="AW2" s="1">
        <v>22</v>
      </c>
      <c r="AX2" s="1">
        <v>23</v>
      </c>
      <c r="AY2" s="1">
        <v>24</v>
      </c>
      <c r="AZ2" s="1">
        <v>25</v>
      </c>
      <c r="BA2" s="1">
        <v>26</v>
      </c>
      <c r="BB2" s="1">
        <v>27</v>
      </c>
      <c r="BC2" s="1">
        <v>28</v>
      </c>
      <c r="BD2" s="1">
        <v>29</v>
      </c>
      <c r="BE2" s="1">
        <v>30</v>
      </c>
      <c r="BF2" s="1">
        <v>31</v>
      </c>
      <c r="BG2" s="1">
        <v>32</v>
      </c>
      <c r="BH2" s="1">
        <v>33</v>
      </c>
      <c r="BI2" s="1">
        <v>34</v>
      </c>
      <c r="BJ2" s="1">
        <v>35</v>
      </c>
      <c r="BK2" s="1">
        <v>36</v>
      </c>
      <c r="BL2" s="1">
        <v>37</v>
      </c>
      <c r="BM2" s="1">
        <v>38</v>
      </c>
      <c r="BN2" s="1">
        <v>39</v>
      </c>
      <c r="BO2" s="1">
        <v>40</v>
      </c>
      <c r="BP2" s="1">
        <v>41</v>
      </c>
      <c r="BQ2" s="1">
        <v>42</v>
      </c>
      <c r="BR2" s="1">
        <v>43</v>
      </c>
      <c r="BS2" s="1">
        <v>44</v>
      </c>
      <c r="BT2" s="1">
        <v>45</v>
      </c>
      <c r="BU2" s="1">
        <v>46</v>
      </c>
      <c r="BV2" s="1">
        <v>47</v>
      </c>
    </row>
    <row r="3" spans="2:74" x14ac:dyDescent="0.2">
      <c r="B3" s="12">
        <v>38962</v>
      </c>
      <c r="C3" s="6" t="e">
        <f>#REF!</f>
        <v>#REF!</v>
      </c>
      <c r="D3" s="7" t="e">
        <f>IF(#REF!="","",#REF!)</f>
        <v>#REF!</v>
      </c>
      <c r="E3" s="7" t="e">
        <f>IF(#REF!="","",#REF!)</f>
        <v>#REF!</v>
      </c>
      <c r="F3" s="8" t="e">
        <f>#REF!</f>
        <v>#REF!</v>
      </c>
      <c r="G3" s="9" t="str">
        <f t="shared" si="0"/>
        <v>3-4</v>
      </c>
      <c r="H3" s="10" t="e">
        <f t="shared" si="1"/>
        <v>#REF!</v>
      </c>
      <c r="I3" s="10" t="e">
        <f t="shared" si="2"/>
        <v>#REF!</v>
      </c>
      <c r="J3" s="11">
        <v>3</v>
      </c>
      <c r="K3" s="11">
        <v>4</v>
      </c>
      <c r="L3" s="4" t="e">
        <f>#REF!</f>
        <v>#REF!</v>
      </c>
      <c r="M3" s="9">
        <v>2</v>
      </c>
      <c r="V3" s="339" t="s">
        <v>1</v>
      </c>
      <c r="W3" s="339"/>
      <c r="X3" s="339"/>
      <c r="Y3" s="339"/>
      <c r="Z3" s="339"/>
      <c r="AD3" s="1" t="s">
        <v>2</v>
      </c>
      <c r="AF3" s="1" t="s">
        <v>3</v>
      </c>
      <c r="AH3" s="1" t="s">
        <v>4</v>
      </c>
      <c r="AJ3" s="1" t="s">
        <v>5</v>
      </c>
      <c r="AL3" s="1" t="s">
        <v>6</v>
      </c>
      <c r="AN3" s="1" t="s">
        <v>7</v>
      </c>
      <c r="AP3" s="1" t="s">
        <v>8</v>
      </c>
      <c r="AR3" s="1" t="s">
        <v>9</v>
      </c>
      <c r="BJ3" s="1" t="s">
        <v>10</v>
      </c>
      <c r="BK3" s="1" t="s">
        <v>11</v>
      </c>
      <c r="BL3" s="1" t="s">
        <v>12</v>
      </c>
      <c r="BM3" s="1" t="s">
        <v>13</v>
      </c>
      <c r="BN3" s="1" t="s">
        <v>1</v>
      </c>
      <c r="BO3" s="1" t="s">
        <v>14</v>
      </c>
      <c r="BP3" s="1" t="s">
        <v>15</v>
      </c>
      <c r="BQ3" s="1" t="s">
        <v>16</v>
      </c>
      <c r="BR3" s="1" t="s">
        <v>17</v>
      </c>
      <c r="BS3" s="1" t="s">
        <v>18</v>
      </c>
      <c r="BT3" s="1" t="s">
        <v>19</v>
      </c>
      <c r="BU3" s="1" t="s">
        <v>20</v>
      </c>
      <c r="BV3" s="1" t="s">
        <v>21</v>
      </c>
    </row>
    <row r="4" spans="2:74" x14ac:dyDescent="0.2">
      <c r="B4" s="13"/>
      <c r="C4" s="6" t="e">
        <f>#REF!</f>
        <v>#REF!</v>
      </c>
      <c r="D4" s="7" t="e">
        <f>IF(#REF!="","",#REF!)</f>
        <v>#REF!</v>
      </c>
      <c r="E4" s="7" t="e">
        <f>IF(#REF!="","",#REF!)</f>
        <v>#REF!</v>
      </c>
      <c r="F4" s="8" t="e">
        <f>#REF!</f>
        <v>#REF!</v>
      </c>
      <c r="G4" s="9" t="str">
        <f t="shared" si="0"/>
        <v>1-5</v>
      </c>
      <c r="H4" s="10" t="e">
        <f t="shared" si="1"/>
        <v>#REF!</v>
      </c>
      <c r="I4" s="10" t="e">
        <f t="shared" si="2"/>
        <v>#REF!</v>
      </c>
      <c r="J4" s="11">
        <v>1</v>
      </c>
      <c r="K4" s="11">
        <v>5</v>
      </c>
      <c r="L4" s="4" t="e">
        <f>#REF!</f>
        <v>#REF!</v>
      </c>
      <c r="M4" s="9">
        <v>3</v>
      </c>
      <c r="V4" s="339"/>
      <c r="W4" s="339"/>
      <c r="X4" s="339"/>
      <c r="Y4" s="339"/>
      <c r="Z4" s="339"/>
      <c r="AB4" s="1" t="e">
        <f>RANK(BV4,$BV$4:$BV$11)</f>
        <v>#REF!</v>
      </c>
      <c r="AC4" s="4" t="e">
        <f>#REF!</f>
        <v>#REF!</v>
      </c>
      <c r="AD4" s="14"/>
      <c r="AE4" s="15"/>
      <c r="AF4" s="1" t="e">
        <f>IF(VLOOKUP("1-2",GA,2,0)&lt;&gt;"",VLOOKUP("1-2",GA,2,0))</f>
        <v>#REF!</v>
      </c>
      <c r="AG4" s="1" t="e">
        <f>IF(VLOOKUP("1-2",GA,3,0)&lt;&gt;"",VLOOKUP("1-2",GA,3,0))</f>
        <v>#REF!</v>
      </c>
      <c r="AH4" s="1" t="e">
        <f>IF(VLOOKUP("1-3",GA,2,0)&lt;&gt;"",VLOOKUP("1-3",GA,2,0))</f>
        <v>#REF!</v>
      </c>
      <c r="AI4" s="1" t="e">
        <f>IF(VLOOKUP("1-3",GA,3,0)&lt;&gt;"",VLOOKUP("1-3",GA,3,0))</f>
        <v>#REF!</v>
      </c>
      <c r="AJ4" s="1" t="e">
        <f>IF(VLOOKUP("1-4",GA,2,0)&lt;&gt;"",VLOOKUP("1-4",GA,2,0))</f>
        <v>#REF!</v>
      </c>
      <c r="AK4" s="1" t="e">
        <f>IF(VLOOKUP("1-4",GA,3,0)&lt;&gt;"",VLOOKUP("1-4",GA,3,0))</f>
        <v>#REF!</v>
      </c>
      <c r="AL4" s="1" t="e">
        <f>IF(VLOOKUP("1-5",GA,2,0)&lt;&gt;"",VLOOKUP("1-5",GA,2,0))</f>
        <v>#REF!</v>
      </c>
      <c r="AM4" s="1" t="e">
        <f>IF(VLOOKUP("1-5",GA,3,0)&lt;&gt;"",VLOOKUP("1-5",GA,3,0))</f>
        <v>#REF!</v>
      </c>
      <c r="AU4" s="1" t="e">
        <f>IF(AG4=FALSE,FALSE,IF(AF4&gt;AG4,3,IF(AF4=AG4,1,0)))</f>
        <v>#REF!</v>
      </c>
      <c r="AV4" s="1" t="e">
        <f>IF(AI4=FALSE,FALSE,IF(AH4&gt;AI4,3,IF(AH4=AI4,1,0)))</f>
        <v>#REF!</v>
      </c>
      <c r="AW4" s="1" t="e">
        <f>IF(AK4=FALSE,FALSE,IF(AJ4&gt;AK4,3,IF(AJ4=AK4,1,0)))</f>
        <v>#REF!</v>
      </c>
      <c r="AX4" s="1" t="e">
        <f>IF(AM4=FALSE,FALSE,IF(AL4&gt;AM4,3,IF(AL4=AM4,1,0)))</f>
        <v>#REF!</v>
      </c>
      <c r="AY4" s="1" t="b">
        <f>IF(AO4=FALSE,FALSE,IF(AN4&gt;AO4,3,IF(AN4=AO4,1,0)))</f>
        <v>0</v>
      </c>
      <c r="AZ4" s="1" t="b">
        <f>IF(AQ4=FALSE,FALSE,IF(AP4&gt;AQ4,3,IF(AP4=AQ4,1,0)))</f>
        <v>0</v>
      </c>
      <c r="BA4" s="1" t="b">
        <f>IF(AS4=FALSE,FALSE,IF(AR4&gt;AS4,3,IF(AR4=AS4,1,0)))</f>
        <v>0</v>
      </c>
      <c r="BC4" s="1">
        <f>IF(BJ4=$BJ$5,1,0)</f>
        <v>1</v>
      </c>
      <c r="BD4" s="1">
        <f>IF(BJ4=$BJ$6,1,0)</f>
        <v>1</v>
      </c>
      <c r="BE4" s="1">
        <f>IF(BJ4=$BJ$7,1,0)</f>
        <v>1</v>
      </c>
      <c r="BF4" s="1">
        <f>IF(BJ4=$BJ$8,1,0)</f>
        <v>1</v>
      </c>
      <c r="BG4" s="1">
        <f>IF(BJ4=$BJ$9,1,0)</f>
        <v>1</v>
      </c>
      <c r="BH4" s="1">
        <f>IF(BJ4=$BJ$10,1,0)</f>
        <v>1</v>
      </c>
      <c r="BI4" s="1">
        <f>IF(BJ4=$BJ$11,1,0)</f>
        <v>1</v>
      </c>
      <c r="BJ4" s="1">
        <f>BK4*3+BL4</f>
        <v>0</v>
      </c>
      <c r="BK4" s="1">
        <f>COUNTIF(AT4:BA4,3)+COUNTIF(AT4:AT11,0)</f>
        <v>0</v>
      </c>
      <c r="BL4" s="1">
        <f>COUNTIF(AT4:BA4,1)+COUNTIF(AT4:AT11,1)</f>
        <v>0</v>
      </c>
      <c r="BM4" s="1">
        <f>COUNTIF(AT4:BA4,0)+COUNTIF(AT4:AT11,3)</f>
        <v>0</v>
      </c>
      <c r="BN4" s="1" t="e">
        <f>AF4+AH4+AJ4+AL4+AN4+AP4+AR4+SUM(AE4:AE11)+AD4</f>
        <v>#REF!</v>
      </c>
      <c r="BO4" s="1" t="e">
        <f>AG4+AI4+AK4+AM4+AO4+AQ4+AS4+SUM(AD4:AD11)+AE4</f>
        <v>#REF!</v>
      </c>
      <c r="BP4" s="1">
        <f>SUM(AE4:AE11)</f>
        <v>0</v>
      </c>
      <c r="BQ4" s="1" t="e">
        <f>SUMPRODUCT(BB4:BI4,AT4:BA4)+SUMPRODUCT(BB4:BB11,AT12:AT19)</f>
        <v>#REF!</v>
      </c>
      <c r="BR4" s="1" t="e">
        <f>BB4*AD4+BC4*AF4+BD4*AH4+BE4*AJ4+BF4*AL4+BG4*AN4+BH4*AP4+BI4*AR4+SUMPRODUCT(BB4:BB11,AE4:AE11)</f>
        <v>#REF!</v>
      </c>
      <c r="BS4" s="1" t="e">
        <f>BB4*AE4+BC4*AG4+BD4*AI4+BE4*AK4+BF4*AM4+BG4*AO4+BH4*AQ4+BI4*AS4+SUMPRODUCT(BB4:BB11,AD4:AD11)</f>
        <v>#REF!</v>
      </c>
      <c r="BT4" s="1" t="e">
        <f>SUM(BQ4:BS4)</f>
        <v>#REF!</v>
      </c>
      <c r="BU4" s="1">
        <f>SUMPRODUCT(BB4:BB11,AE4:AE11)</f>
        <v>0</v>
      </c>
      <c r="BV4" s="1" t="e">
        <f>BJ4*100000000+BQ4*1000000+(BR4-BS4)*10000+BR4*100+BU4+(BN4-BO4)/100+BN4/10000+BP4/1000000+0.00000008</f>
        <v>#REF!</v>
      </c>
    </row>
    <row r="5" spans="2:74" x14ac:dyDescent="0.2">
      <c r="B5" s="12">
        <v>38966</v>
      </c>
      <c r="C5" s="6" t="e">
        <f>#REF!</f>
        <v>#REF!</v>
      </c>
      <c r="D5" s="7" t="e">
        <f>IF(#REF!="","",#REF!)</f>
        <v>#REF!</v>
      </c>
      <c r="E5" s="7" t="e">
        <f>IF(#REF!="","",#REF!)</f>
        <v>#REF!</v>
      </c>
      <c r="F5" s="8" t="e">
        <f>#REF!</f>
        <v>#REF!</v>
      </c>
      <c r="G5" s="9" t="str">
        <f t="shared" si="0"/>
        <v>2-3</v>
      </c>
      <c r="H5" s="10" t="e">
        <f t="shared" si="1"/>
        <v>#REF!</v>
      </c>
      <c r="I5" s="10" t="e">
        <f t="shared" si="2"/>
        <v>#REF!</v>
      </c>
      <c r="J5" s="11">
        <v>2</v>
      </c>
      <c r="K5" s="11">
        <v>3</v>
      </c>
      <c r="L5" s="4" t="e">
        <f>#REF!</f>
        <v>#REF!</v>
      </c>
      <c r="M5" s="9">
        <v>4</v>
      </c>
      <c r="V5" s="339"/>
      <c r="W5" s="339"/>
      <c r="X5" s="339"/>
      <c r="Y5" s="339"/>
      <c r="Z5" s="339"/>
      <c r="AB5" s="1" t="e">
        <f>RANK(BV5,$BV$4:$BV$11)</f>
        <v>#REF!</v>
      </c>
      <c r="AC5" s="4" t="e">
        <f>#REF!</f>
        <v>#REF!</v>
      </c>
      <c r="AH5" s="1" t="e">
        <f>IF(VLOOKUP("2-3",GA,2,0)&lt;&gt;"",VLOOKUP("2-3",GA,2,0))</f>
        <v>#REF!</v>
      </c>
      <c r="AI5" s="1" t="e">
        <f>IF(VLOOKUP("2-3",GA,3,0)&lt;&gt;"",VLOOKUP("2-3",GA,3,0))</f>
        <v>#REF!</v>
      </c>
      <c r="AJ5" s="1" t="e">
        <f>IF(VLOOKUP("2-4",GA,2,0)&lt;&gt;"",VLOOKUP("2-4",GA,2,0))</f>
        <v>#REF!</v>
      </c>
      <c r="AK5" s="1" t="e">
        <f>IF(VLOOKUP("2-4",GA,3,0)&lt;&gt;"",VLOOKUP("2-4",GA,3,0))</f>
        <v>#REF!</v>
      </c>
      <c r="AL5" s="1" t="e">
        <f>IF(VLOOKUP("2-5",GA,2,0)&lt;&gt;"",VLOOKUP("2-5",GA,2,0))</f>
        <v>#REF!</v>
      </c>
      <c r="AM5" s="1" t="e">
        <f>IF(VLOOKUP("2-5",GA,3,0)&lt;&gt;"",VLOOKUP("2-5",GA,3,0))</f>
        <v>#REF!</v>
      </c>
      <c r="AT5" s="1" t="b">
        <f>IF(AE5=FALSE,FALSE,IF(AD5&gt;AE5,3,IF(AD5=AE5,1,0)))</f>
        <v>0</v>
      </c>
      <c r="AV5" s="1" t="e">
        <f>IF(AI5=FALSE,FALSE,IF(AH5&gt;AI5,3,IF(AH5=AI5,1,0)))</f>
        <v>#REF!</v>
      </c>
      <c r="AW5" s="1" t="e">
        <f>IF(AK5=FALSE,FALSE,IF(AJ5&gt;AK5,3,IF(AJ5=AK5,1,0)))</f>
        <v>#REF!</v>
      </c>
      <c r="AX5" s="1" t="e">
        <f>IF(AM5=FALSE,FALSE,IF(AL5&gt;AM5,3,IF(AL5=AM5,1,0)))</f>
        <v>#REF!</v>
      </c>
      <c r="AY5" s="1" t="b">
        <f>IF(AO5=FALSE,FALSE,IF(AN5&gt;AO5,3,IF(AN5=AO5,1,0)))</f>
        <v>0</v>
      </c>
      <c r="AZ5" s="1" t="b">
        <f>IF(AQ5=FALSE,FALSE,IF(AP5&gt;AQ5,3,IF(AP5=AQ5,1,0)))</f>
        <v>0</v>
      </c>
      <c r="BA5" s="1" t="b">
        <f>IF(AS5=FALSE,FALSE,IF(AR5&gt;AS5,3,IF(AR5=AS5,1,0)))</f>
        <v>0</v>
      </c>
      <c r="BB5" s="1">
        <f>IF(BJ5=$BJ$4,1,0)</f>
        <v>1</v>
      </c>
      <c r="BD5" s="1">
        <f>IF(BJ5=$BJ$6,1,0)</f>
        <v>1</v>
      </c>
      <c r="BE5" s="1">
        <f>IF(BJ5=$BJ$7,1,0)</f>
        <v>1</v>
      </c>
      <c r="BF5" s="1">
        <f>IF(BJ5=$BJ$8,1,0)</f>
        <v>1</v>
      </c>
      <c r="BG5" s="1">
        <f>IF(BJ5=$BJ$9,1,0)</f>
        <v>1</v>
      </c>
      <c r="BH5" s="1">
        <f>IF(BJ5=$BJ$10,1,0)</f>
        <v>1</v>
      </c>
      <c r="BI5" s="1">
        <f>IF(BJ5=$BJ$11,1,0)</f>
        <v>1</v>
      </c>
      <c r="BJ5" s="1">
        <f>BK5*3+BL5</f>
        <v>0</v>
      </c>
      <c r="BK5" s="1">
        <f>COUNTIF(AT5:BA5,3)+COUNTIF(AU4:AU11,0)</f>
        <v>0</v>
      </c>
      <c r="BL5" s="1">
        <f>COUNTIF(AT5:BA5,1)+COUNTIF(AU4:AU11,1)</f>
        <v>0</v>
      </c>
      <c r="BM5" s="1">
        <f>COUNTIF(AT5:BA5,0)+COUNTIF(AU4:AU11,3)</f>
        <v>0</v>
      </c>
      <c r="BN5" s="1" t="e">
        <f>AF5+AH5+AJ5+AL5+AN5+AP5+AR5+SUM(AG4:AG11)+AD5</f>
        <v>#REF!</v>
      </c>
      <c r="BO5" s="1" t="e">
        <f>AG5+AI5+AK5+AM5+AO5+AQ5+AS5+SUM(AF4:AF11)+AE5</f>
        <v>#REF!</v>
      </c>
      <c r="BP5" s="1" t="e">
        <f>SUM(AG4:AG11)</f>
        <v>#REF!</v>
      </c>
      <c r="BQ5" s="1" t="e">
        <f>SUMPRODUCT(BB5:BI5,AT5:BA5)+SUMPRODUCT(BC4:BC11,AU12:AU19)</f>
        <v>#REF!</v>
      </c>
      <c r="BR5" s="1" t="e">
        <f>BB5*AD5+BC5*AF5+BD5*AH5+BE5*AJ5+BF5*AL5+BG5*AN5+BH5*AP5+BI5*AR5+SUMPRODUCT(BC4:BC11,AG4:AG11)</f>
        <v>#REF!</v>
      </c>
      <c r="BS5" s="1" t="e">
        <f>BB5*AE5+BC5*AG5+BD5*AI5+BE5*AK5+BF5*AM5+BG5*AO5+BH5*AQ5+BI5*AS5+SUMPRODUCT(BC4:BC11,AF4:AF11)</f>
        <v>#REF!</v>
      </c>
      <c r="BT5" s="1" t="e">
        <f>SUM(BQ5:BS5)</f>
        <v>#REF!</v>
      </c>
      <c r="BU5" s="1" t="e">
        <f>SUMPRODUCT(BC4:BC11,AG4:AG11)</f>
        <v>#REF!</v>
      </c>
      <c r="BV5" s="1" t="e">
        <f>BJ5*100000000+BQ5*1000000+(BR5-BS5)*10000+BR5*100+BU5+(BN5-BO5)/100+BN5/10000+BP5/1000000+0.00000007</f>
        <v>#REF!</v>
      </c>
    </row>
    <row r="6" spans="2:74" x14ac:dyDescent="0.2">
      <c r="B6" s="16"/>
      <c r="C6" s="6" t="e">
        <f>#REF!</f>
        <v>#REF!</v>
      </c>
      <c r="D6" s="7" t="e">
        <f>IF(#REF!="","",#REF!)</f>
        <v>#REF!</v>
      </c>
      <c r="E6" s="7" t="e">
        <f>IF(#REF!="","",#REF!)</f>
        <v>#REF!</v>
      </c>
      <c r="F6" s="8" t="e">
        <f>#REF!</f>
        <v>#REF!</v>
      </c>
      <c r="G6" s="9" t="str">
        <f t="shared" si="0"/>
        <v>1-4</v>
      </c>
      <c r="H6" s="10" t="e">
        <f t="shared" si="1"/>
        <v>#REF!</v>
      </c>
      <c r="I6" s="10" t="e">
        <f t="shared" si="2"/>
        <v>#REF!</v>
      </c>
      <c r="J6" s="11">
        <v>1</v>
      </c>
      <c r="K6" s="11">
        <v>4</v>
      </c>
      <c r="L6" s="4" t="e">
        <f>#REF!</f>
        <v>#REF!</v>
      </c>
      <c r="M6" s="9">
        <v>5</v>
      </c>
      <c r="V6" s="339"/>
      <c r="W6" s="339"/>
      <c r="X6" s="339"/>
      <c r="Y6" s="339"/>
      <c r="Z6" s="339"/>
      <c r="AB6" s="1" t="e">
        <f>RANK(BV6,$BV$4:$BV$11)</f>
        <v>#REF!</v>
      </c>
      <c r="AC6" s="4" t="e">
        <f>#REF!</f>
        <v>#REF!</v>
      </c>
      <c r="AJ6" s="1" t="e">
        <f>IF(VLOOKUP("3-4",GA,2,0)&lt;&gt;"",VLOOKUP("3-4",GA,2,0))</f>
        <v>#REF!</v>
      </c>
      <c r="AK6" s="1" t="e">
        <f>IF(VLOOKUP("3-4",GA,3,0)&lt;&gt;"",VLOOKUP("3-4",GA,3,0))</f>
        <v>#REF!</v>
      </c>
      <c r="AL6" s="1" t="e">
        <f>IF(VLOOKUP("3-5",GA,2,0)&lt;&gt;"",VLOOKUP("3-5",GA,2,0))</f>
        <v>#REF!</v>
      </c>
      <c r="AM6" s="1" t="e">
        <f>IF(VLOOKUP("3-5",GA,3,0)&lt;&gt;"",VLOOKUP("3-5",GA,3,0))</f>
        <v>#REF!</v>
      </c>
      <c r="AT6" s="1" t="b">
        <f>IF(AE6=FALSE,FALSE,IF(AD6&gt;AE6,3,IF(AD6=AE6,1,0)))</f>
        <v>0</v>
      </c>
      <c r="AU6" s="1" t="b">
        <f>IF(AG6=FALSE,FALSE,IF(AF6&gt;AG6,3,IF(AF6=AG6,1,0)))</f>
        <v>0</v>
      </c>
      <c r="AW6" s="1" t="e">
        <f>IF(AK6=FALSE,FALSE,IF(AJ6&gt;AK6,3,IF(AJ6=AK6,1,0)))</f>
        <v>#REF!</v>
      </c>
      <c r="AX6" s="1" t="e">
        <f>IF(AM6=FALSE,FALSE,IF(AL6&gt;AM6,3,IF(AL6=AM6,1,0)))</f>
        <v>#REF!</v>
      </c>
      <c r="AY6" s="1" t="b">
        <f>IF(AO6=FALSE,FALSE,IF(AN6&gt;AO6,3,IF(AN6=AO6,1,0)))</f>
        <v>0</v>
      </c>
      <c r="AZ6" s="1" t="b">
        <f>IF(AQ6=FALSE,FALSE,IF(AP6&gt;AQ6,3,IF(AP6=AQ6,1,0)))</f>
        <v>0</v>
      </c>
      <c r="BA6" s="1" t="b">
        <f>IF(AS6=FALSE,FALSE,IF(AR6&gt;AS6,3,IF(AR6=AS6,1,0)))</f>
        <v>0</v>
      </c>
      <c r="BB6" s="1">
        <f>IF(BJ6=$BJ$4,1,0)</f>
        <v>1</v>
      </c>
      <c r="BC6" s="1">
        <f>IF(BJ6=$BJ$5,1,0)</f>
        <v>1</v>
      </c>
      <c r="BE6" s="1">
        <f>IF(BJ6=$BJ$7,1,0)</f>
        <v>1</v>
      </c>
      <c r="BF6" s="1">
        <f>IF(BJ6=$BJ$8,1,0)</f>
        <v>1</v>
      </c>
      <c r="BG6" s="1">
        <f>IF(BJ6=$BJ$9,1,0)</f>
        <v>1</v>
      </c>
      <c r="BH6" s="1">
        <f>IF(BJ6=$BJ$10,1,0)</f>
        <v>1</v>
      </c>
      <c r="BI6" s="1">
        <f>IF(BJ6=$BJ$11,1,0)</f>
        <v>1</v>
      </c>
      <c r="BJ6" s="1">
        <f>BK6*3+BL6</f>
        <v>0</v>
      </c>
      <c r="BK6" s="1">
        <f>COUNTIF(AT6:BA6,3)+COUNTIF(AV4:AV11,0)</f>
        <v>0</v>
      </c>
      <c r="BL6" s="1">
        <f>COUNTIF(AT6:BA6,1)+COUNTIF(AV4:AV11,1)</f>
        <v>0</v>
      </c>
      <c r="BM6" s="1">
        <f>COUNTIF(AT6:BA6,0)+COUNTIF(AV4:AV11,3)</f>
        <v>0</v>
      </c>
      <c r="BN6" s="1" t="e">
        <f>AF6+AH6+AJ6+AL6+AN6+AP6+AR6+SUM(AI4:AI11)+AD6</f>
        <v>#REF!</v>
      </c>
      <c r="BO6" s="1" t="e">
        <f>AG6+AI6+AK6+AM6+AO6+AQ6+AS6+SUM(AH4:AH11)+AE6</f>
        <v>#REF!</v>
      </c>
      <c r="BP6" s="1" t="e">
        <f>SUM(AI4:AI11)</f>
        <v>#REF!</v>
      </c>
      <c r="BQ6" s="1" t="e">
        <f>SUMPRODUCT(BB6:BI6,AT6:BA6)+SUMPRODUCT(BD4:BD11,AV12:AV19)</f>
        <v>#REF!</v>
      </c>
      <c r="BR6" s="1" t="e">
        <f>BB6*AD6+BC6*AF6+BD6*AH6+BE6*AJ6+BF6*AL6+BG6*AN6+BH6*AP6+BI6*AR6+SUMPRODUCT(BD4:BD11,AI4:AI11)</f>
        <v>#REF!</v>
      </c>
      <c r="BS6" s="1" t="e">
        <f>BB6*AE6+BC6*AG6+BD6*AI6+BE6*AK6+BF6*AM6+BG6*AO6+BH6*AQ6+BI6*AS6+SUMPRODUCT(BD4:BD11,AH4:AH11)</f>
        <v>#REF!</v>
      </c>
      <c r="BT6" s="1" t="e">
        <f>SUM(BQ6:BS6)</f>
        <v>#REF!</v>
      </c>
      <c r="BU6" s="1" t="e">
        <f>SUMPRODUCT(BD4:BD11,AI4:AI11)</f>
        <v>#REF!</v>
      </c>
      <c r="BV6" s="1" t="e">
        <f>BJ6*100000000+BQ6*1000000+(BR6-BS6)*10000+BR6*100+BU6+(BN6-BO6)/100+BN6/10000+BP6/1000000+0.00000006</f>
        <v>#REF!</v>
      </c>
    </row>
    <row r="7" spans="2:74" x14ac:dyDescent="0.2">
      <c r="B7" s="16"/>
      <c r="C7" s="6" t="e">
        <f>#REF!</f>
        <v>#REF!</v>
      </c>
      <c r="D7" s="7" t="e">
        <f>IF(#REF!="","",#REF!)</f>
        <v>#REF!</v>
      </c>
      <c r="E7" s="7" t="e">
        <f>IF(#REF!="","",#REF!)</f>
        <v>#REF!</v>
      </c>
      <c r="F7" s="8" t="e">
        <f>#REF!</f>
        <v>#REF!</v>
      </c>
      <c r="G7" s="9" t="str">
        <f t="shared" si="0"/>
        <v>2-5</v>
      </c>
      <c r="H7" s="10" t="e">
        <f t="shared" si="1"/>
        <v>#REF!</v>
      </c>
      <c r="I7" s="10" t="e">
        <f t="shared" si="2"/>
        <v>#REF!</v>
      </c>
      <c r="J7" s="11">
        <v>2</v>
      </c>
      <c r="K7" s="11">
        <v>5</v>
      </c>
      <c r="M7" s="9"/>
      <c r="V7" s="339"/>
      <c r="W7" s="339"/>
      <c r="X7" s="339"/>
      <c r="Y7" s="339"/>
      <c r="Z7" s="339"/>
      <c r="AB7" s="1" t="e">
        <f>RANK(BV7,$BV$4:$BV$11)</f>
        <v>#REF!</v>
      </c>
      <c r="AC7" s="4" t="e">
        <f>#REF!</f>
        <v>#REF!</v>
      </c>
      <c r="AL7" s="1" t="e">
        <f>IF(VLOOKUP("4-5",GA,2,0)&lt;&gt;"",VLOOKUP("4-5",GA,2,0))</f>
        <v>#REF!</v>
      </c>
      <c r="AM7" s="1" t="e">
        <f>IF(VLOOKUP("4-5",GA,3,0)&lt;&gt;"",VLOOKUP("4-5",GA,3,0))</f>
        <v>#REF!</v>
      </c>
      <c r="AT7" s="1" t="b">
        <f>IF(AE7=FALSE,FALSE,IF(AD7&gt;AE7,3,IF(AD7=AE7,1,0)))</f>
        <v>0</v>
      </c>
      <c r="AU7" s="1" t="b">
        <f>IF(AG7=FALSE,FALSE,IF(AF7&gt;AG7,3,IF(AF7=AG7,1,0)))</f>
        <v>0</v>
      </c>
      <c r="AV7" s="1" t="b">
        <f>IF(AI7=FALSE,FALSE,IF(AH7&gt;AI7,3,IF(AH7=AI7,1,0)))</f>
        <v>0</v>
      </c>
      <c r="AX7" s="1" t="e">
        <f>IF(AM7=FALSE,FALSE,IF(AL7&gt;AM7,3,IF(AL7=AM7,1,0)))</f>
        <v>#REF!</v>
      </c>
      <c r="AY7" s="1" t="b">
        <f>IF(AO7=FALSE,FALSE,IF(AN7&gt;AO7,3,IF(AN7=AO7,1,0)))</f>
        <v>0</v>
      </c>
      <c r="AZ7" s="1" t="b">
        <f>IF(AQ7=FALSE,FALSE,IF(AP7&gt;AQ7,3,IF(AP7=AQ7,1,0)))</f>
        <v>0</v>
      </c>
      <c r="BA7" s="1" t="b">
        <f>IF(AS7=FALSE,FALSE,IF(AR7&gt;AS7,3,IF(AR7=AS7,1,0)))</f>
        <v>0</v>
      </c>
      <c r="BB7" s="1">
        <f>IF(BJ7=$BJ$4,1,0)</f>
        <v>1</v>
      </c>
      <c r="BC7" s="1">
        <f>IF(BJ7=$BJ$5,1,0)</f>
        <v>1</v>
      </c>
      <c r="BD7" s="1">
        <f>IF(BJ7=$BJ$6,1,0)</f>
        <v>1</v>
      </c>
      <c r="BF7" s="1">
        <f>IF(BJ7=$BJ$8,1,0)</f>
        <v>1</v>
      </c>
      <c r="BG7" s="1">
        <f>IF(BJ7=$BJ$9,1,0)</f>
        <v>1</v>
      </c>
      <c r="BH7" s="1">
        <f>IF(BJ7=$BJ$10,1,0)</f>
        <v>1</v>
      </c>
      <c r="BI7" s="1">
        <f>IF(BJ7=$BJ$11,1,0)</f>
        <v>1</v>
      </c>
      <c r="BJ7" s="1">
        <f>BK7*3+BL7</f>
        <v>0</v>
      </c>
      <c r="BK7" s="1">
        <f>COUNTIF(AT7:BA7,3)+COUNTIF(AW4:AW11,0)</f>
        <v>0</v>
      </c>
      <c r="BL7" s="1">
        <f>COUNTIF(AT7:BA7,1)+COUNTIF(AW4:AW11,1)</f>
        <v>0</v>
      </c>
      <c r="BM7" s="1">
        <f>COUNTIF(AT7:BA7,0)+COUNTIF(AW4:AW11,3)</f>
        <v>0</v>
      </c>
      <c r="BN7" s="1" t="e">
        <f>AF7+AH7+AJ7+AL7+AN7+AP7+AR7+SUM(AK4:AK11)+AD7</f>
        <v>#REF!</v>
      </c>
      <c r="BO7" s="1" t="e">
        <f>AG7+AI7+AK7+AM7+AO7+AQ7+AS7+SUM(AJ4:AJ11)+AE7</f>
        <v>#REF!</v>
      </c>
      <c r="BP7" s="1" t="e">
        <f>SUM(AK4:AK11)</f>
        <v>#REF!</v>
      </c>
      <c r="BQ7" s="1" t="e">
        <f>SUMPRODUCT(BB7:BI7,AT7:BA7)+SUMPRODUCT(BE4:BE11,AW12:AW19)</f>
        <v>#REF!</v>
      </c>
      <c r="BR7" s="1" t="e">
        <f>BB7*AD7+BC7*AF7+BD7*AH7+BE7*AJ7+BF7*AL7+BG7*AN7+BH7*AP7+BI7*AR7+SUMPRODUCT(BE4:BE11,AK4:AK11)</f>
        <v>#REF!</v>
      </c>
      <c r="BS7" s="1" t="e">
        <f>BB7*AE7+BC7*AG7+BD7*AI7+BE7*AK7+BF7*AM7+BG7*AO7+BH7*AQ7+BI7*AS7+SUMPRODUCT(BE4:BE11,AJ4:AJ11)</f>
        <v>#REF!</v>
      </c>
      <c r="BT7" s="1" t="e">
        <f>SUM(BQ7:BS7)</f>
        <v>#REF!</v>
      </c>
      <c r="BU7" s="1" t="e">
        <f>SUMPRODUCT(BE4:BE11,AK4:AK11)</f>
        <v>#REF!</v>
      </c>
      <c r="BV7" s="1" t="e">
        <f>BJ7*100000000+BQ7*1000000+(BR7-BS7)*10000+BR7*100+BU7+(BN7-BO7)/100+BN7/10000+BP7/1000000+0.00000005</f>
        <v>#REF!</v>
      </c>
    </row>
    <row r="8" spans="2:74" x14ac:dyDescent="0.2">
      <c r="B8" s="13"/>
      <c r="C8" s="6" t="e">
        <f>#REF!</f>
        <v>#REF!</v>
      </c>
      <c r="D8" s="7" t="e">
        <f>IF(#REF!="","",#REF!)</f>
        <v>#REF!</v>
      </c>
      <c r="E8" s="7" t="e">
        <f>IF(#REF!="","",#REF!)</f>
        <v>#REF!</v>
      </c>
      <c r="F8" s="8" t="e">
        <f>#REF!</f>
        <v>#REF!</v>
      </c>
      <c r="G8" s="9" t="str">
        <f t="shared" si="0"/>
        <v>2-4</v>
      </c>
      <c r="H8" s="10" t="e">
        <f t="shared" si="1"/>
        <v>#REF!</v>
      </c>
      <c r="I8" s="10" t="e">
        <f t="shared" si="2"/>
        <v>#REF!</v>
      </c>
      <c r="J8" s="11">
        <v>2</v>
      </c>
      <c r="K8" s="11">
        <v>4</v>
      </c>
      <c r="M8" s="9"/>
      <c r="AB8" s="1" t="e">
        <f>RANK(BV8,$BV$4:$BV$11)</f>
        <v>#REF!</v>
      </c>
      <c r="AC8" s="4" t="e">
        <f>#REF!</f>
        <v>#REF!</v>
      </c>
      <c r="AT8" s="1" t="b">
        <f>IF(AE8=FALSE,FALSE,IF(AD8&gt;AE8,3,IF(AD8=AE8,1,0)))</f>
        <v>0</v>
      </c>
      <c r="AU8" s="1" t="b">
        <f>IF(AG8=FALSE,FALSE,IF(AF8&gt;AG8,3,IF(AF8=AG8,1,0)))</f>
        <v>0</v>
      </c>
      <c r="AV8" s="1" t="b">
        <f>IF(AI8=FALSE,FALSE,IF(AH8&gt;AI8,3,IF(AH8=AI8,1,0)))</f>
        <v>0</v>
      </c>
      <c r="AW8" s="1" t="b">
        <f>IF(AK8=FALSE,FALSE,IF(AJ8&gt;AK8,3,IF(AJ8=AK8,1,0)))</f>
        <v>0</v>
      </c>
      <c r="AY8" s="1" t="b">
        <f>IF(AO8=FALSE,FALSE,IF(AN8&gt;AO8,3,IF(AN8=AO8,1,0)))</f>
        <v>0</v>
      </c>
      <c r="AZ8" s="1" t="b">
        <f>IF(AQ8=FALSE,FALSE,IF(AP8&gt;AQ8,3,IF(AP8=AQ8,1,0)))</f>
        <v>0</v>
      </c>
      <c r="BA8" s="1" t="b">
        <f>IF(AS8=FALSE,FALSE,IF(AR8&gt;AS8,3,IF(AR8=AS8,1,0)))</f>
        <v>0</v>
      </c>
      <c r="BB8" s="1">
        <f>IF(BJ8=$BJ$4,1,0)</f>
        <v>1</v>
      </c>
      <c r="BC8" s="1">
        <f>IF(BJ8=$BJ$5,1,0)</f>
        <v>1</v>
      </c>
      <c r="BD8" s="1">
        <f>IF(BJ8=$BJ$6,1,0)</f>
        <v>1</v>
      </c>
      <c r="BE8" s="1">
        <f>IF(BJ8=$BJ$7,1,0)</f>
        <v>1</v>
      </c>
      <c r="BG8" s="1">
        <f>IF(BJ8=$BJ$9,1,0)</f>
        <v>1</v>
      </c>
      <c r="BH8" s="1">
        <f>IF(BJ8=$BJ$10,1,0)</f>
        <v>1</v>
      </c>
      <c r="BI8" s="1">
        <f>IF(BJ8=$BJ$11,1,0)</f>
        <v>1</v>
      </c>
      <c r="BJ8" s="1">
        <f>BK8*3+BL8</f>
        <v>0</v>
      </c>
      <c r="BK8" s="1">
        <f>COUNTIF(AT8:BA8,3)+COUNTIF(AX4:AX11,0)</f>
        <v>0</v>
      </c>
      <c r="BL8" s="1">
        <f>COUNTIF(AT8:BA8,1)+COUNTIF(AX4:AX11,1)</f>
        <v>0</v>
      </c>
      <c r="BM8" s="1">
        <f>COUNTIF(AT8:BA8,0)+COUNTIF(AX4:AX11,3)</f>
        <v>0</v>
      </c>
      <c r="BN8" s="1" t="e">
        <f>AF8+AH8+AJ8+AL8+AN8+AP8+AR8+SUM(AM4:AM11)+AD8</f>
        <v>#REF!</v>
      </c>
      <c r="BO8" s="1" t="e">
        <f>AG8+AI8+AK8+AM8+AO8+AQ8+AS8+SUM(AL4:AL11)+AE8</f>
        <v>#REF!</v>
      </c>
      <c r="BP8" s="1" t="e">
        <f>SUM(AM4:AM11)</f>
        <v>#REF!</v>
      </c>
      <c r="BQ8" s="1" t="e">
        <f>SUMPRODUCT(BB8:BI8,AT8:BA8)+SUMPRODUCT(BF4:BF11,AX12:AX19)</f>
        <v>#REF!</v>
      </c>
      <c r="BR8" s="1" t="e">
        <f>BB8*AD8+BC8*AF8+BD8*AH8+BE8*AJ8+BF8*AL8+BG8*AN8+BH8*AP8+BI8*AR8+SUMPRODUCT(BF4:BF11,AM4:AM11)</f>
        <v>#REF!</v>
      </c>
      <c r="BS8" s="1" t="e">
        <f>BB8*AE8+BC8*AG8+BD8*AI8+BE8*AK8+BF8*AM8+BG8*AO8+BH8*AQ8+BI8*AS8+SUMPRODUCT(BF4:BF11,AL4:AL11)</f>
        <v>#REF!</v>
      </c>
      <c r="BT8" s="1" t="e">
        <f>SUM(BQ8:BS8)</f>
        <v>#REF!</v>
      </c>
      <c r="BU8" s="1" t="e">
        <f>SUMPRODUCT(BF4:BF11,AM4:AM11)</f>
        <v>#REF!</v>
      </c>
      <c r="BV8" s="1" t="e">
        <f>BJ8*100000000+BQ8*1000000+(BR8-BS8)*10000+BR8*100+BU8+(BN8-BO8)/100+BN8/10000+BP8/1000000+0.00000004</f>
        <v>#REF!</v>
      </c>
    </row>
    <row r="9" spans="2:74" x14ac:dyDescent="0.2">
      <c r="B9" s="12">
        <v>38997</v>
      </c>
      <c r="C9" s="6" t="e">
        <f>#REF!</f>
        <v>#REF!</v>
      </c>
      <c r="D9" s="7" t="e">
        <f>IF(#REF!="","",#REF!)</f>
        <v>#REF!</v>
      </c>
      <c r="E9" s="7" t="e">
        <f>IF(#REF!="","",#REF!)</f>
        <v>#REF!</v>
      </c>
      <c r="F9" s="8" t="e">
        <f>#REF!</f>
        <v>#REF!</v>
      </c>
      <c r="G9" s="9" t="str">
        <f t="shared" si="0"/>
        <v>3-5</v>
      </c>
      <c r="H9" s="10" t="e">
        <f t="shared" si="1"/>
        <v>#REF!</v>
      </c>
      <c r="I9" s="10" t="e">
        <f t="shared" si="2"/>
        <v>#REF!</v>
      </c>
      <c r="J9" s="11">
        <v>3</v>
      </c>
      <c r="K9" s="11">
        <v>5</v>
      </c>
      <c r="M9" s="9"/>
    </row>
    <row r="10" spans="2:74" x14ac:dyDescent="0.2">
      <c r="B10" s="16"/>
      <c r="C10" s="6" t="e">
        <f>#REF!</f>
        <v>#REF!</v>
      </c>
      <c r="D10" s="7" t="e">
        <f>IF(#REF!="","",#REF!)</f>
        <v>#REF!</v>
      </c>
      <c r="E10" s="7" t="e">
        <f>IF(#REF!="","",#REF!)</f>
        <v>#REF!</v>
      </c>
      <c r="F10" s="8" t="e">
        <f>#REF!</f>
        <v>#REF!</v>
      </c>
      <c r="G10" s="9" t="str">
        <f t="shared" si="0"/>
        <v>1-3</v>
      </c>
      <c r="H10" s="10" t="e">
        <f t="shared" si="1"/>
        <v>#REF!</v>
      </c>
      <c r="I10" s="10" t="e">
        <f t="shared" si="2"/>
        <v>#REF!</v>
      </c>
      <c r="J10" s="11">
        <v>1</v>
      </c>
      <c r="K10" s="11">
        <v>3</v>
      </c>
      <c r="L10" s="9"/>
      <c r="M10" s="9"/>
    </row>
    <row r="11" spans="2:74" x14ac:dyDescent="0.2">
      <c r="B11" s="16"/>
      <c r="C11" s="6" t="e">
        <f>#REF!</f>
        <v>#REF!</v>
      </c>
      <c r="D11" s="7" t="e">
        <f>IF(#REF!="","",#REF!)</f>
        <v>#REF!</v>
      </c>
      <c r="E11" s="7" t="e">
        <f>IF(#REF!="","",#REF!)</f>
        <v>#REF!</v>
      </c>
      <c r="F11" s="8" t="e">
        <f>#REF!</f>
        <v>#REF!</v>
      </c>
      <c r="G11" s="9" t="str">
        <f t="shared" si="0"/>
        <v>4-5</v>
      </c>
      <c r="H11" s="10" t="e">
        <f t="shared" si="1"/>
        <v>#REF!</v>
      </c>
      <c r="I11" s="10" t="e">
        <f t="shared" si="2"/>
        <v>#REF!</v>
      </c>
      <c r="J11" s="11">
        <v>4</v>
      </c>
      <c r="K11" s="11">
        <v>5</v>
      </c>
      <c r="L11" s="9"/>
      <c r="M11" s="9"/>
      <c r="O11" s="340"/>
      <c r="P11" s="340"/>
      <c r="Q11" s="340"/>
      <c r="R11" s="340"/>
      <c r="S11" s="340"/>
      <c r="T11" s="340"/>
    </row>
    <row r="12" spans="2:74" x14ac:dyDescent="0.2">
      <c r="B12" s="13"/>
      <c r="C12" s="6"/>
      <c r="D12" s="7"/>
      <c r="E12" s="7"/>
      <c r="F12" s="17"/>
      <c r="G12" s="9"/>
      <c r="H12" s="10"/>
      <c r="I12" s="10"/>
      <c r="J12" s="9"/>
      <c r="K12" s="9"/>
      <c r="L12" s="9"/>
      <c r="M12" s="9"/>
      <c r="AU12" s="1" t="e">
        <f t="shared" ref="AU12:BA12" si="3">IF(AU4=3,0,IF(AU4=1,1,IF(AU4=0,3,0)))</f>
        <v>#REF!</v>
      </c>
      <c r="AV12" s="1" t="e">
        <f t="shared" si="3"/>
        <v>#REF!</v>
      </c>
      <c r="AW12" s="1" t="e">
        <f t="shared" si="3"/>
        <v>#REF!</v>
      </c>
      <c r="AX12" s="1" t="e">
        <f t="shared" si="3"/>
        <v>#REF!</v>
      </c>
      <c r="AY12" s="1">
        <f t="shared" si="3"/>
        <v>0</v>
      </c>
      <c r="AZ12" s="1">
        <f t="shared" si="3"/>
        <v>0</v>
      </c>
      <c r="BA12" s="1">
        <f t="shared" si="3"/>
        <v>0</v>
      </c>
    </row>
    <row r="13" spans="2:74" x14ac:dyDescent="0.2">
      <c r="B13" s="12">
        <v>39001</v>
      </c>
      <c r="C13" s="18"/>
      <c r="D13" s="7"/>
      <c r="E13" s="7"/>
      <c r="F13" s="19"/>
      <c r="G13" s="9"/>
      <c r="H13" s="10"/>
      <c r="I13" s="10"/>
      <c r="J13" s="9"/>
      <c r="K13" s="9"/>
      <c r="L13" s="9"/>
      <c r="M13" s="9"/>
      <c r="O13" s="4" t="s">
        <v>22</v>
      </c>
      <c r="AT13" s="1">
        <f t="shared" ref="AT13:AT19" si="4">IF(AT5=3,0,IF(AT5=1,1,IF(AT5=0,3,0)))</f>
        <v>0</v>
      </c>
      <c r="AV13" s="1" t="e">
        <f t="shared" ref="AV13:BA13" si="5">IF(AV5=3,0,IF(AV5=1,1,IF(AV5=0,3,0)))</f>
        <v>#REF!</v>
      </c>
      <c r="AW13" s="1" t="e">
        <f t="shared" si="5"/>
        <v>#REF!</v>
      </c>
      <c r="AX13" s="1" t="e">
        <f t="shared" si="5"/>
        <v>#REF!</v>
      </c>
      <c r="AY13" s="1">
        <f t="shared" si="5"/>
        <v>0</v>
      </c>
      <c r="AZ13" s="1">
        <f t="shared" si="5"/>
        <v>0</v>
      </c>
      <c r="BA13" s="1">
        <f t="shared" si="5"/>
        <v>0</v>
      </c>
    </row>
    <row r="14" spans="2:74" x14ac:dyDescent="0.2">
      <c r="B14" s="16"/>
      <c r="C14" s="20"/>
      <c r="D14" s="7"/>
      <c r="E14" s="7"/>
      <c r="F14" s="21"/>
      <c r="G14" s="9"/>
      <c r="H14" s="10"/>
      <c r="I14" s="10"/>
      <c r="J14" s="9"/>
      <c r="K14" s="9"/>
      <c r="L14" s="9"/>
      <c r="M14" s="9"/>
      <c r="O14" s="4">
        <v>1</v>
      </c>
      <c r="P14" s="1" t="s">
        <v>23</v>
      </c>
      <c r="AT14" s="1">
        <f t="shared" si="4"/>
        <v>0</v>
      </c>
      <c r="AU14" s="1">
        <f t="shared" ref="AU14:AU19" si="6">IF(AU6=3,0,IF(AU6=1,1,IF(AU6=0,3,0)))</f>
        <v>0</v>
      </c>
      <c r="AW14" s="1" t="e">
        <f>IF(AW6=3,0,IF(AW6=1,1,IF(AW6=0,3,0)))</f>
        <v>#REF!</v>
      </c>
      <c r="AX14" s="1" t="e">
        <f>IF(AX6=3,0,IF(AX6=1,1,IF(AX6=0,3,0)))</f>
        <v>#REF!</v>
      </c>
      <c r="AY14" s="1">
        <f>IF(AY6=3,0,IF(AY6=1,1,IF(AY6=0,3,0)))</f>
        <v>0</v>
      </c>
      <c r="AZ14" s="1">
        <f>IF(AZ6=3,0,IF(AZ6=1,1,IF(AZ6=0,3,0)))</f>
        <v>0</v>
      </c>
      <c r="BA14" s="1">
        <f>IF(BA6=3,0,IF(BA6=1,1,IF(BA6=0,3,0)))</f>
        <v>0</v>
      </c>
    </row>
    <row r="15" spans="2:74" x14ac:dyDescent="0.2">
      <c r="B15" s="16"/>
      <c r="C15" s="20"/>
      <c r="D15" s="7"/>
      <c r="E15" s="7"/>
      <c r="F15" s="21"/>
      <c r="G15" s="9"/>
      <c r="H15" s="10"/>
      <c r="I15" s="10"/>
      <c r="J15" s="9"/>
      <c r="K15" s="9"/>
      <c r="L15" s="9"/>
      <c r="M15" s="9"/>
      <c r="O15" s="4">
        <v>2</v>
      </c>
      <c r="P15" s="1" t="s">
        <v>24</v>
      </c>
      <c r="AT15" s="1">
        <f t="shared" si="4"/>
        <v>0</v>
      </c>
      <c r="AU15" s="1">
        <f t="shared" si="6"/>
        <v>0</v>
      </c>
      <c r="AV15" s="1">
        <f>IF(AV7=3,0,IF(AV7=1,1,IF(AV7=0,3,0)))</f>
        <v>0</v>
      </c>
      <c r="AX15" s="1" t="e">
        <f>IF(AX7=3,0,IF(AX7=1,1,IF(AX7=0,3,0)))</f>
        <v>#REF!</v>
      </c>
      <c r="AY15" s="1">
        <f>IF(AY7=3,0,IF(AY7=1,1,IF(AY7=0,3,0)))</f>
        <v>0</v>
      </c>
      <c r="AZ15" s="1">
        <f>IF(AZ7=3,0,IF(AZ7=1,1,IF(AZ7=0,3,0)))</f>
        <v>0</v>
      </c>
      <c r="BA15" s="1">
        <f>IF(BA7=3,0,IF(BA7=1,1,IF(BA7=0,3,0)))</f>
        <v>0</v>
      </c>
    </row>
    <row r="16" spans="2:74" x14ac:dyDescent="0.2">
      <c r="B16" s="13"/>
      <c r="C16" s="22"/>
      <c r="D16" s="7"/>
      <c r="E16" s="7"/>
      <c r="F16" s="23"/>
      <c r="G16" s="9"/>
      <c r="H16" s="10"/>
      <c r="I16" s="10"/>
      <c r="J16" s="9"/>
      <c r="K16" s="9"/>
      <c r="L16" s="9"/>
      <c r="M16" s="9"/>
      <c r="O16" s="4">
        <v>3</v>
      </c>
      <c r="P16" s="1" t="s">
        <v>25</v>
      </c>
      <c r="AT16" s="1">
        <f t="shared" si="4"/>
        <v>0</v>
      </c>
      <c r="AU16" s="1">
        <f t="shared" si="6"/>
        <v>0</v>
      </c>
      <c r="AV16" s="1">
        <f>IF(AV8=3,0,IF(AV8=1,1,IF(AV8=0,3,0)))</f>
        <v>0</v>
      </c>
      <c r="AW16" s="1">
        <f>IF(AW8=3,0,IF(AW8=1,1,IF(AW8=0,3,0)))</f>
        <v>0</v>
      </c>
      <c r="AY16" s="1">
        <f>IF(AY8=3,0,IF(AY8=1,1,IF(AY8=0,3,0)))</f>
        <v>0</v>
      </c>
      <c r="AZ16" s="1">
        <f>IF(AZ8=3,0,IF(AZ8=1,1,IF(AZ8=0,3,0)))</f>
        <v>0</v>
      </c>
      <c r="BA16" s="1">
        <f>IF(BA8=3,0,IF(BA8=1,1,IF(BA8=0,3,0)))</f>
        <v>0</v>
      </c>
    </row>
    <row r="17" spans="2:75" x14ac:dyDescent="0.2">
      <c r="B17" s="12">
        <v>39036</v>
      </c>
      <c r="C17" s="18"/>
      <c r="D17" s="7"/>
      <c r="E17" s="7"/>
      <c r="F17" s="19"/>
      <c r="G17" s="9"/>
      <c r="H17" s="10"/>
      <c r="I17" s="10"/>
      <c r="J17" s="9"/>
      <c r="K17" s="9"/>
      <c r="L17" s="9"/>
      <c r="M17" s="9"/>
      <c r="O17" s="4">
        <v>4</v>
      </c>
      <c r="P17" s="1" t="s">
        <v>26</v>
      </c>
      <c r="AT17" s="1">
        <f t="shared" si="4"/>
        <v>3</v>
      </c>
      <c r="AU17" s="1">
        <f t="shared" si="6"/>
        <v>3</v>
      </c>
      <c r="AV17" s="1">
        <f>IF(AV9=3,0,IF(AV9=1,1,IF(AV9=0,3,0)))</f>
        <v>3</v>
      </c>
      <c r="AW17" s="1">
        <f>IF(AW9=3,0,IF(AW9=1,1,IF(AW9=0,3,0)))</f>
        <v>3</v>
      </c>
      <c r="AX17" s="1">
        <f>IF(AX9=3,0,IF(AX9=1,1,IF(AX9=0,3,0)))</f>
        <v>3</v>
      </c>
      <c r="AZ17" s="1">
        <f>IF(AZ9=3,0,IF(AZ9=1,1,IF(AZ9=0,3,0)))</f>
        <v>3</v>
      </c>
      <c r="BA17" s="1">
        <f>IF(BA9=3,0,IF(BA9=1,1,IF(BA9=0,3,0)))</f>
        <v>3</v>
      </c>
    </row>
    <row r="18" spans="2:75" x14ac:dyDescent="0.2">
      <c r="B18" s="16"/>
      <c r="C18" s="20"/>
      <c r="D18" s="7"/>
      <c r="E18" s="7"/>
      <c r="F18" s="21"/>
      <c r="G18" s="9"/>
      <c r="H18" s="10"/>
      <c r="I18" s="10"/>
      <c r="J18" s="9"/>
      <c r="K18" s="9"/>
      <c r="L18" s="9"/>
      <c r="M18" s="9"/>
      <c r="O18" s="4">
        <v>5</v>
      </c>
      <c r="P18" s="1" t="s">
        <v>27</v>
      </c>
      <c r="AT18" s="1">
        <f t="shared" si="4"/>
        <v>3</v>
      </c>
      <c r="AU18" s="1">
        <f t="shared" si="6"/>
        <v>3</v>
      </c>
      <c r="AV18" s="1">
        <f>IF(AV10=3,0,IF(AV10=1,1,IF(AV10=0,3,0)))</f>
        <v>3</v>
      </c>
      <c r="AW18" s="1">
        <f>IF(AW10=3,0,IF(AW10=1,1,IF(AW10=0,3,0)))</f>
        <v>3</v>
      </c>
      <c r="AX18" s="1">
        <f>IF(AX10=3,0,IF(AX10=1,1,IF(AX10=0,3,0)))</f>
        <v>3</v>
      </c>
      <c r="AY18" s="1">
        <f>IF(AY10=3,0,IF(AY10=1,1,IF(AY10=0,3,0)))</f>
        <v>3</v>
      </c>
      <c r="BA18" s="1">
        <f>IF(BA10=3,0,IF(BA10=1,1,IF(BA10=0,3,0)))</f>
        <v>3</v>
      </c>
    </row>
    <row r="19" spans="2:75" x14ac:dyDescent="0.2">
      <c r="B19" s="13"/>
      <c r="C19" s="22"/>
      <c r="D19" s="7"/>
      <c r="E19" s="7"/>
      <c r="F19" s="23"/>
      <c r="G19" s="9"/>
      <c r="H19" s="10"/>
      <c r="I19" s="10"/>
      <c r="J19" s="9"/>
      <c r="K19" s="9"/>
      <c r="L19" s="9"/>
      <c r="M19" s="9"/>
      <c r="O19" s="4">
        <v>6</v>
      </c>
      <c r="P19" s="1" t="s">
        <v>28</v>
      </c>
      <c r="AT19" s="1">
        <f t="shared" si="4"/>
        <v>3</v>
      </c>
      <c r="AU19" s="1">
        <f t="shared" si="6"/>
        <v>3</v>
      </c>
      <c r="AV19" s="1">
        <f>IF(AV11=3,0,IF(AV11=1,1,IF(AV11=0,3,0)))</f>
        <v>3</v>
      </c>
      <c r="AW19" s="1">
        <f>IF(AW11=3,0,IF(AW11=1,1,IF(AW11=0,3,0)))</f>
        <v>3</v>
      </c>
      <c r="AX19" s="1">
        <f>IF(AX11=3,0,IF(AX11=1,1,IF(AX11=0,3,0)))</f>
        <v>3</v>
      </c>
      <c r="AY19" s="1">
        <f>IF(AY11=3,0,IF(AY11=1,1,IF(AY11=0,3,0)))</f>
        <v>3</v>
      </c>
      <c r="AZ19" s="1">
        <f>IF(AZ11=3,0,IF(AZ11=1,1,IF(AZ11=0,3,0)))</f>
        <v>3</v>
      </c>
    </row>
    <row r="20" spans="2:75" x14ac:dyDescent="0.2">
      <c r="B20" s="12">
        <v>39165</v>
      </c>
      <c r="C20" s="18"/>
      <c r="D20" s="7"/>
      <c r="E20" s="7"/>
      <c r="F20" s="19"/>
      <c r="G20" s="9"/>
      <c r="H20" s="10"/>
      <c r="I20" s="10"/>
      <c r="J20" s="9"/>
      <c r="K20" s="9"/>
      <c r="L20" s="9"/>
      <c r="M20" s="9"/>
      <c r="P20" s="1" t="s">
        <v>29</v>
      </c>
    </row>
    <row r="21" spans="2:75" x14ac:dyDescent="0.2">
      <c r="B21" s="16"/>
      <c r="C21" s="20"/>
      <c r="D21" s="7"/>
      <c r="E21" s="7"/>
      <c r="F21" s="21"/>
      <c r="G21" s="9"/>
      <c r="H21" s="10"/>
      <c r="I21" s="10"/>
      <c r="J21" s="9"/>
      <c r="K21" s="9"/>
      <c r="L21" s="9"/>
      <c r="M21" s="9"/>
      <c r="O21" s="4">
        <v>7</v>
      </c>
      <c r="P21" s="1" t="s">
        <v>30</v>
      </c>
    </row>
    <row r="22" spans="2:75" x14ac:dyDescent="0.2">
      <c r="B22" s="13"/>
      <c r="C22" s="22"/>
      <c r="D22" s="7"/>
      <c r="E22" s="7"/>
      <c r="F22" s="23"/>
      <c r="G22" s="9"/>
      <c r="H22" s="10"/>
      <c r="I22" s="10"/>
      <c r="J22" s="9"/>
      <c r="K22" s="9"/>
      <c r="L22" s="9"/>
      <c r="M22" s="9"/>
      <c r="O22" s="4">
        <v>8</v>
      </c>
      <c r="P22" s="1" t="s">
        <v>31</v>
      </c>
    </row>
    <row r="23" spans="2:75" x14ac:dyDescent="0.2">
      <c r="B23" s="12">
        <v>39169</v>
      </c>
      <c r="C23" s="18"/>
      <c r="D23" s="7"/>
      <c r="E23" s="7"/>
      <c r="F23" s="19"/>
      <c r="G23" s="9"/>
      <c r="H23" s="10"/>
      <c r="I23" s="10"/>
      <c r="J23" s="9"/>
      <c r="K23" s="9"/>
      <c r="L23" s="9"/>
      <c r="M23" s="9"/>
      <c r="O23" s="4">
        <v>9</v>
      </c>
      <c r="P23" s="1" t="s">
        <v>32</v>
      </c>
    </row>
    <row r="24" spans="2:75" x14ac:dyDescent="0.2">
      <c r="B24" s="16"/>
      <c r="C24" s="20"/>
      <c r="D24" s="7"/>
      <c r="E24" s="7"/>
      <c r="F24" s="21"/>
      <c r="G24" s="9"/>
      <c r="H24" s="10"/>
      <c r="I24" s="10"/>
      <c r="J24" s="9"/>
      <c r="K24" s="9"/>
      <c r="L24" s="9"/>
      <c r="M24" s="9"/>
      <c r="O24" s="4">
        <v>10</v>
      </c>
      <c r="P24" s="1" t="s">
        <v>33</v>
      </c>
    </row>
    <row r="25" spans="2:75" x14ac:dyDescent="0.2">
      <c r="B25" s="13"/>
      <c r="C25" s="22"/>
      <c r="D25" s="7"/>
      <c r="E25" s="7"/>
      <c r="F25" s="23"/>
      <c r="G25" s="9"/>
      <c r="H25" s="10"/>
      <c r="I25" s="10"/>
      <c r="J25" s="9"/>
      <c r="K25" s="9"/>
      <c r="L25" s="9"/>
      <c r="M25" s="9"/>
      <c r="O25" s="4">
        <v>11</v>
      </c>
      <c r="P25" s="1" t="s">
        <v>34</v>
      </c>
    </row>
    <row r="26" spans="2:75" x14ac:dyDescent="0.2">
      <c r="B26" s="12">
        <v>39235</v>
      </c>
      <c r="C26" s="18"/>
      <c r="D26" s="7"/>
      <c r="E26" s="7"/>
      <c r="F26" s="19"/>
      <c r="G26" s="9"/>
      <c r="H26" s="10"/>
      <c r="I26" s="10"/>
      <c r="J26" s="9"/>
      <c r="K26" s="9"/>
      <c r="L26" s="9"/>
      <c r="M26" s="9"/>
    </row>
    <row r="27" spans="2:75" x14ac:dyDescent="0.2">
      <c r="B27" s="16"/>
      <c r="C27" s="20"/>
      <c r="D27" s="7"/>
      <c r="E27" s="7"/>
      <c r="F27" s="21"/>
      <c r="G27" s="9"/>
      <c r="H27" s="10"/>
      <c r="I27" s="10"/>
      <c r="J27" s="9"/>
      <c r="K27" s="9"/>
      <c r="L27" s="9"/>
      <c r="M27" s="9"/>
      <c r="P27" s="24" t="s">
        <v>10</v>
      </c>
      <c r="Q27" s="24" t="s">
        <v>10</v>
      </c>
      <c r="R27" s="24" t="s">
        <v>1</v>
      </c>
      <c r="S27" s="24" t="s">
        <v>14</v>
      </c>
      <c r="T27" s="25" t="s">
        <v>35</v>
      </c>
      <c r="U27" s="24" t="s">
        <v>36</v>
      </c>
      <c r="V27" s="24" t="s">
        <v>11</v>
      </c>
      <c r="W27" s="24" t="s">
        <v>12</v>
      </c>
      <c r="X27" s="24" t="s">
        <v>13</v>
      </c>
      <c r="Y27" s="24" t="s">
        <v>1</v>
      </c>
      <c r="Z27" s="24" t="s">
        <v>14</v>
      </c>
      <c r="AA27" s="25" t="s">
        <v>35</v>
      </c>
    </row>
    <row r="28" spans="2:75" x14ac:dyDescent="0.2">
      <c r="B28" s="16"/>
      <c r="C28" s="20"/>
      <c r="D28" s="7"/>
      <c r="E28" s="7"/>
      <c r="F28" s="21"/>
      <c r="G28" s="9"/>
      <c r="H28" s="10"/>
      <c r="I28" s="10"/>
      <c r="J28" s="9"/>
      <c r="K28" s="9"/>
      <c r="L28" s="9"/>
      <c r="M28" s="9"/>
      <c r="O28" s="4" t="e">
        <f>VLOOKUP(1,GAX,2,FALSE)</f>
        <v>#N/A</v>
      </c>
      <c r="P28" s="26" t="e">
        <f>VLOOKUP(1,GAX,35,FALSE)</f>
        <v>#N/A</v>
      </c>
      <c r="Q28" s="27" t="e">
        <f>IF(VLOOKUP(1,GAX,45,FALSE)=0,"",VLOOKUP(1,GAX,42,FALSE))</f>
        <v>#N/A</v>
      </c>
      <c r="R28" s="28" t="e">
        <f>IF(VLOOKUP(1,GAX,45,FALSE)=0,"",VLOOKUP(1,GAX,43,FALSE))</f>
        <v>#N/A</v>
      </c>
      <c r="S28" s="28" t="e">
        <f>IF(VLOOKUP(1,GAX,45,FALSE)=0,"",VLOOKUP(1,GAX,44,FALSE))</f>
        <v>#N/A</v>
      </c>
      <c r="T28" s="29" t="e">
        <f>IF(VLOOKUP(1,GAX,45,FALSE)=0,"",VLOOKUP(1,GAX,46,FALSE))</f>
        <v>#N/A</v>
      </c>
      <c r="U28" s="30" t="e">
        <f>SUM(V28:X28)</f>
        <v>#N/A</v>
      </c>
      <c r="V28" s="28" t="e">
        <f>VLOOKUP(1,GAX,36,FALSE)</f>
        <v>#N/A</v>
      </c>
      <c r="W28" s="28" t="e">
        <f>VLOOKUP(1,GAX,37,FALSE)</f>
        <v>#N/A</v>
      </c>
      <c r="X28" s="28" t="e">
        <f>VLOOKUP(1,GAX,38,FALSE)</f>
        <v>#N/A</v>
      </c>
      <c r="Y28" s="28" t="e">
        <f>VLOOKUP(1,GAX,39,FALSE)</f>
        <v>#N/A</v>
      </c>
      <c r="Z28" s="28" t="e">
        <f>VLOOKUP(1,GAX,40,FALSE)</f>
        <v>#N/A</v>
      </c>
      <c r="AA28" s="29" t="e">
        <f>VLOOKUP(1,GAX,41,FALSE)</f>
        <v>#N/A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 t="s">
        <v>37</v>
      </c>
    </row>
    <row r="29" spans="2:75" x14ac:dyDescent="0.2">
      <c r="B29" s="13"/>
      <c r="C29" s="22"/>
      <c r="D29" s="7"/>
      <c r="E29" s="7"/>
      <c r="F29" s="23"/>
      <c r="G29" s="9"/>
      <c r="H29" s="10"/>
      <c r="I29" s="10"/>
      <c r="J29" s="9"/>
      <c r="K29" s="9"/>
      <c r="L29" s="9"/>
      <c r="M29" s="9"/>
      <c r="O29" s="33" t="e">
        <f>VLOOKUP(2,GAX,2,FALSE)</f>
        <v>#N/A</v>
      </c>
      <c r="P29" s="34" t="e">
        <f>VLOOKUP(2,GAX,35,FALSE)</f>
        <v>#N/A</v>
      </c>
      <c r="Q29" s="35" t="e">
        <f>IF(VLOOKUP(2,GAX,45,FALSE)=0,"",VLOOKUP(2,GAX,42,FALSE))</f>
        <v>#N/A</v>
      </c>
      <c r="R29" s="33" t="e">
        <f>IF(VLOOKUP(2,GAX,45,FALSE)=0,"",VLOOKUP(2,GAX,43,FALSE))</f>
        <v>#N/A</v>
      </c>
      <c r="S29" s="33" t="e">
        <f>IF(VLOOKUP(2,GAX,45,FALSE)=0,"",VLOOKUP(2,GAX,44,FALSE))</f>
        <v>#N/A</v>
      </c>
      <c r="T29" s="36" t="e">
        <f>IF(VLOOKUP(2,GAX,45,FALSE)=0,"",VLOOKUP(2,GAX,46,FALSE))</f>
        <v>#N/A</v>
      </c>
      <c r="U29" s="37" t="e">
        <f>SUM(V29:X29)</f>
        <v>#N/A</v>
      </c>
      <c r="V29" s="33" t="e">
        <f>VLOOKUP(2,GAX,36,FALSE)</f>
        <v>#N/A</v>
      </c>
      <c r="W29" s="33" t="e">
        <f>VLOOKUP(2,GAX,37,FALSE)</f>
        <v>#N/A</v>
      </c>
      <c r="X29" s="33" t="e">
        <f>VLOOKUP(2,GAX,38,FALSE)</f>
        <v>#N/A</v>
      </c>
      <c r="Y29" s="33" t="e">
        <f>VLOOKUP(2,GAX,39,FALSE)</f>
        <v>#N/A</v>
      </c>
      <c r="Z29" s="33" t="e">
        <f>VLOOKUP(2,GAX,40,FALSE)</f>
        <v>#N/A</v>
      </c>
      <c r="AA29" s="36" t="e">
        <f>VLOOKUP(2,GAX,41,FALSE)</f>
        <v>#N/A</v>
      </c>
      <c r="BW29" s="38" t="s">
        <v>37</v>
      </c>
    </row>
    <row r="30" spans="2:75" x14ac:dyDescent="0.2">
      <c r="B30" s="12">
        <v>39239</v>
      </c>
      <c r="C30" s="18"/>
      <c r="D30" s="7"/>
      <c r="E30" s="7"/>
      <c r="F30" s="19"/>
      <c r="G30" s="9"/>
      <c r="H30" s="10"/>
      <c r="I30" s="10"/>
      <c r="J30" s="9"/>
      <c r="K30" s="9"/>
      <c r="L30" s="9"/>
      <c r="M30" s="9"/>
      <c r="O30" s="4" t="e">
        <f>VLOOKUP(3,GAX,2,FALSE)</f>
        <v>#N/A</v>
      </c>
      <c r="P30" s="39" t="e">
        <f>VLOOKUP(3,GAX,35,FALSE)</f>
        <v>#N/A</v>
      </c>
      <c r="Q30" s="40" t="e">
        <f>IF(VLOOKUP(3,GAX,45,FALSE)=0,"",VLOOKUP(3,GAX,42,FALSE))</f>
        <v>#N/A</v>
      </c>
      <c r="R30" s="4" t="e">
        <f>IF(VLOOKUP(3,GAX,45,FALSE)=0,"",VLOOKUP(3,GAX,43,FALSE))</f>
        <v>#N/A</v>
      </c>
      <c r="S30" s="4" t="e">
        <f>IF(VLOOKUP(3,GAX,45,FALSE)=0,"",VLOOKUP(3,GAX,44,FALSE))</f>
        <v>#N/A</v>
      </c>
      <c r="T30" s="41" t="e">
        <f>IF(VLOOKUP(3,GAX,45,FALSE)=0,"",VLOOKUP(3,GAX,46,FALSE))</f>
        <v>#N/A</v>
      </c>
      <c r="U30" s="42" t="e">
        <f>SUM(V30:X30)</f>
        <v>#N/A</v>
      </c>
      <c r="V30" s="4" t="e">
        <f>VLOOKUP(3,GAX,36,FALSE)</f>
        <v>#N/A</v>
      </c>
      <c r="W30" s="4" t="e">
        <f>VLOOKUP(3,GAX,37,FALSE)</f>
        <v>#N/A</v>
      </c>
      <c r="X30" s="4" t="e">
        <f>VLOOKUP(3,GAX,38,FALSE)</f>
        <v>#N/A</v>
      </c>
      <c r="Y30" s="4" t="e">
        <f>VLOOKUP(3,GAX,39,FALSE)</f>
        <v>#N/A</v>
      </c>
      <c r="Z30" s="4" t="e">
        <f>VLOOKUP(3,GAX,40,FALSE)</f>
        <v>#N/A</v>
      </c>
      <c r="AA30" s="41" t="e">
        <f>VLOOKUP(3,GAX,41,FALSE)</f>
        <v>#N/A</v>
      </c>
    </row>
    <row r="31" spans="2:75" x14ac:dyDescent="0.2">
      <c r="B31" s="16"/>
      <c r="C31" s="20"/>
      <c r="D31" s="7"/>
      <c r="E31" s="7"/>
      <c r="F31" s="21"/>
      <c r="G31" s="9"/>
      <c r="H31" s="10"/>
      <c r="I31" s="10"/>
      <c r="J31" s="9"/>
      <c r="K31" s="9"/>
      <c r="L31" s="9"/>
      <c r="M31" s="9"/>
      <c r="O31" s="4" t="e">
        <f>VLOOKUP(4,GAX,2,FALSE)</f>
        <v>#N/A</v>
      </c>
      <c r="P31" s="39" t="e">
        <f>VLOOKUP(4,GAX,35,FALSE)</f>
        <v>#N/A</v>
      </c>
      <c r="Q31" s="40" t="e">
        <f>IF(VLOOKUP(4,GAX,45,FALSE)=0,"",VLOOKUP(4,GAX,42,FALSE))</f>
        <v>#N/A</v>
      </c>
      <c r="R31" s="4" t="e">
        <f>IF(VLOOKUP(4,GAX,45,FALSE)=0,"",VLOOKUP(4,GAX,43,FALSE))</f>
        <v>#N/A</v>
      </c>
      <c r="S31" s="4" t="e">
        <f>IF(VLOOKUP(4,GAX,45,FALSE)=0,"",VLOOKUP(4,GAX,44,FALSE))</f>
        <v>#N/A</v>
      </c>
      <c r="T31" s="41" t="e">
        <f>IF(VLOOKUP(4,GAX,45,FALSE)=0,"",VLOOKUP(4,GAX,46,FALSE))</f>
        <v>#N/A</v>
      </c>
      <c r="U31" s="42" t="e">
        <f>SUM(V31:X31)</f>
        <v>#N/A</v>
      </c>
      <c r="V31" s="4" t="e">
        <f>VLOOKUP(4,GAX,36,FALSE)</f>
        <v>#N/A</v>
      </c>
      <c r="W31" s="4" t="e">
        <f>VLOOKUP(4,GAX,37,FALSE)</f>
        <v>#N/A</v>
      </c>
      <c r="X31" s="4" t="e">
        <f>VLOOKUP(4,GAX,38,FALSE)</f>
        <v>#N/A</v>
      </c>
      <c r="Y31" s="4" t="e">
        <f>VLOOKUP(4,GAX,39,FALSE)</f>
        <v>#N/A</v>
      </c>
      <c r="Z31" s="4" t="e">
        <f>VLOOKUP(4,GAX,40,FALSE)</f>
        <v>#N/A</v>
      </c>
      <c r="AA31" s="41" t="e">
        <f>VLOOKUP(4,GAX,41,FALSE)</f>
        <v>#N/A</v>
      </c>
    </row>
    <row r="32" spans="2:75" x14ac:dyDescent="0.2">
      <c r="B32" s="13"/>
      <c r="C32" s="22"/>
      <c r="D32" s="7"/>
      <c r="E32" s="7"/>
      <c r="F32" s="23"/>
      <c r="G32" s="9"/>
      <c r="H32" s="10"/>
      <c r="I32" s="10"/>
      <c r="J32" s="9"/>
      <c r="K32" s="9"/>
      <c r="L32" s="9"/>
      <c r="M32" s="9"/>
      <c r="O32" s="4" t="e">
        <f>VLOOKUP(5,GAX,2,FALSE)</f>
        <v>#N/A</v>
      </c>
      <c r="P32" s="39" t="e">
        <f>VLOOKUP(5,GAX,35,FALSE)</f>
        <v>#N/A</v>
      </c>
      <c r="Q32" s="40" t="e">
        <f>IF(VLOOKUP(5,GAX,45,FALSE)=0,"",VLOOKUP(5,GAX,42,FALSE))</f>
        <v>#N/A</v>
      </c>
      <c r="R32" s="4" t="e">
        <f>IF(VLOOKUP(5,GAX,45,FALSE)=0,"",VLOOKUP(5,GAX,43,FALSE))</f>
        <v>#N/A</v>
      </c>
      <c r="S32" s="4" t="e">
        <f>IF(VLOOKUP(5,GAX,45,FALSE)=0,"",VLOOKUP(5,GAX,44,FALSE))</f>
        <v>#N/A</v>
      </c>
      <c r="T32" s="41" t="e">
        <f>IF(VLOOKUP(5,GAX,45,FALSE)=0,"",VLOOKUP(5,GAX,46,FALSE))</f>
        <v>#N/A</v>
      </c>
      <c r="U32" s="42" t="e">
        <f>SUM(V32:X32)</f>
        <v>#N/A</v>
      </c>
      <c r="V32" s="4" t="e">
        <f>VLOOKUP(5,GAX,36,FALSE)</f>
        <v>#N/A</v>
      </c>
      <c r="W32" s="4" t="e">
        <f>VLOOKUP(5,GAX,37,FALSE)</f>
        <v>#N/A</v>
      </c>
      <c r="X32" s="4" t="e">
        <f>VLOOKUP(5,GAX,38,FALSE)</f>
        <v>#N/A</v>
      </c>
      <c r="Y32" s="4" t="e">
        <f>VLOOKUP(5,GAX,39,FALSE)</f>
        <v>#N/A</v>
      </c>
      <c r="Z32" s="4" t="e">
        <f>VLOOKUP(5,GAX,40,FALSE)</f>
        <v>#N/A</v>
      </c>
      <c r="AA32" s="41" t="e">
        <f>VLOOKUP(5,GAX,41,FALSE)</f>
        <v>#N/A</v>
      </c>
    </row>
    <row r="33" spans="2:27" x14ac:dyDescent="0.2">
      <c r="B33" s="12">
        <v>39316</v>
      </c>
      <c r="C33" s="18"/>
      <c r="D33" s="7"/>
      <c r="E33" s="7"/>
      <c r="F33" s="19"/>
      <c r="G33" s="9"/>
      <c r="H33" s="10"/>
      <c r="I33" s="10"/>
      <c r="J33" s="9"/>
      <c r="K33" s="9"/>
      <c r="L33" s="9"/>
      <c r="M33" s="9"/>
      <c r="P33" s="39"/>
      <c r="Q33" s="40"/>
      <c r="R33" s="4"/>
      <c r="S33" s="4"/>
      <c r="T33" s="41"/>
      <c r="U33" s="42"/>
      <c r="V33" s="4"/>
      <c r="W33" s="4"/>
      <c r="X33" s="4"/>
      <c r="Y33" s="4"/>
      <c r="Z33" s="4"/>
      <c r="AA33" s="41"/>
    </row>
    <row r="34" spans="2:27" x14ac:dyDescent="0.2">
      <c r="B34" s="16"/>
      <c r="C34" s="20"/>
      <c r="D34" s="7"/>
      <c r="E34" s="7"/>
      <c r="F34" s="21"/>
      <c r="G34" s="9"/>
      <c r="H34" s="10"/>
      <c r="I34" s="10"/>
      <c r="J34" s="9"/>
      <c r="K34" s="9"/>
      <c r="L34" s="9"/>
      <c r="M34" s="9"/>
      <c r="P34" s="39"/>
      <c r="Q34" s="40"/>
      <c r="R34" s="4"/>
      <c r="S34" s="4"/>
      <c r="T34" s="41"/>
      <c r="U34" s="42"/>
      <c r="V34" s="4"/>
      <c r="W34" s="4"/>
      <c r="X34" s="4"/>
      <c r="Y34" s="4"/>
      <c r="Z34" s="4"/>
      <c r="AA34" s="41"/>
    </row>
    <row r="35" spans="2:27" x14ac:dyDescent="0.2">
      <c r="B35" s="13"/>
      <c r="C35" s="22"/>
      <c r="D35" s="7"/>
      <c r="E35" s="7"/>
      <c r="F35" s="23"/>
      <c r="G35" s="9"/>
      <c r="H35" s="10"/>
      <c r="I35" s="10"/>
      <c r="J35" s="9"/>
      <c r="K35" s="9"/>
      <c r="L35" s="9"/>
      <c r="M35" s="9"/>
      <c r="P35" s="34"/>
      <c r="Q35" s="35"/>
      <c r="R35" s="33"/>
      <c r="S35" s="33"/>
      <c r="T35" s="36"/>
      <c r="U35" s="37"/>
      <c r="V35" s="33"/>
      <c r="W35" s="33"/>
      <c r="X35" s="33"/>
      <c r="Y35" s="33"/>
      <c r="Z35" s="33"/>
      <c r="AA35" s="36"/>
    </row>
    <row r="36" spans="2:27" x14ac:dyDescent="0.2">
      <c r="B36" s="12">
        <v>39333</v>
      </c>
      <c r="C36" s="18"/>
      <c r="D36" s="7"/>
      <c r="E36" s="7"/>
      <c r="F36" s="19"/>
      <c r="G36" s="9"/>
      <c r="H36" s="10"/>
      <c r="I36" s="10"/>
      <c r="J36" s="9"/>
      <c r="K36" s="9"/>
      <c r="L36" s="9"/>
      <c r="M36" s="9"/>
    </row>
    <row r="37" spans="2:27" x14ac:dyDescent="0.2">
      <c r="B37" s="16"/>
      <c r="C37" s="20"/>
      <c r="D37" s="7"/>
      <c r="E37" s="7"/>
      <c r="F37" s="21"/>
      <c r="G37" s="9"/>
      <c r="H37" s="10"/>
      <c r="I37" s="10"/>
      <c r="J37" s="9"/>
      <c r="K37" s="9"/>
      <c r="L37" s="9"/>
      <c r="M37" s="9"/>
    </row>
    <row r="38" spans="2:27" x14ac:dyDescent="0.2">
      <c r="B38" s="13"/>
      <c r="C38" s="22"/>
      <c r="D38" s="7"/>
      <c r="E38" s="7"/>
      <c r="F38" s="23"/>
      <c r="G38" s="9"/>
      <c r="H38" s="10"/>
      <c r="I38" s="10"/>
      <c r="J38" s="9"/>
      <c r="K38" s="9"/>
      <c r="L38" s="9"/>
      <c r="M38" s="9"/>
    </row>
    <row r="39" spans="2:27" x14ac:dyDescent="0.2">
      <c r="B39" s="12">
        <v>39337</v>
      </c>
      <c r="C39" s="18"/>
      <c r="D39" s="7"/>
      <c r="E39" s="7"/>
      <c r="F39" s="19"/>
      <c r="G39" s="9"/>
      <c r="H39" s="10"/>
      <c r="I39" s="10"/>
      <c r="J39" s="9"/>
      <c r="K39" s="9"/>
      <c r="L39" s="9"/>
      <c r="M39" s="9"/>
    </row>
    <row r="40" spans="2:27" x14ac:dyDescent="0.2">
      <c r="B40" s="16"/>
      <c r="C40" s="20"/>
      <c r="D40" s="7"/>
      <c r="E40" s="7"/>
      <c r="F40" s="21"/>
      <c r="G40" s="9"/>
      <c r="H40" s="10"/>
      <c r="I40" s="10"/>
      <c r="J40" s="9"/>
      <c r="K40" s="9"/>
      <c r="L40" s="9"/>
      <c r="M40" s="9"/>
    </row>
    <row r="41" spans="2:27" x14ac:dyDescent="0.2">
      <c r="B41" s="16"/>
      <c r="C41" s="20"/>
      <c r="D41" s="7"/>
      <c r="E41" s="7"/>
      <c r="F41" s="21"/>
      <c r="G41" s="9"/>
      <c r="H41" s="10"/>
      <c r="I41" s="10"/>
      <c r="J41" s="9"/>
      <c r="K41" s="9"/>
      <c r="L41" s="9"/>
      <c r="M41" s="9"/>
    </row>
    <row r="42" spans="2:27" x14ac:dyDescent="0.2">
      <c r="B42" s="13"/>
      <c r="C42" s="22"/>
      <c r="D42" s="7"/>
      <c r="E42" s="7"/>
      <c r="F42" s="23"/>
      <c r="G42" s="9"/>
      <c r="H42" s="10"/>
      <c r="I42" s="10"/>
      <c r="J42" s="9"/>
      <c r="K42" s="9"/>
      <c r="L42" s="9"/>
      <c r="M42" s="9"/>
    </row>
    <row r="43" spans="2:27" x14ac:dyDescent="0.2">
      <c r="B43" s="12">
        <v>39368</v>
      </c>
      <c r="C43" s="18"/>
      <c r="D43" s="7"/>
      <c r="E43" s="7"/>
      <c r="F43" s="19"/>
      <c r="G43" s="9"/>
      <c r="H43" s="10"/>
      <c r="I43" s="10"/>
      <c r="J43" s="9"/>
      <c r="K43" s="9"/>
      <c r="L43" s="9"/>
      <c r="M43" s="9"/>
    </row>
    <row r="44" spans="2:27" x14ac:dyDescent="0.2">
      <c r="B44" s="16"/>
      <c r="C44" s="20"/>
      <c r="D44" s="7"/>
      <c r="E44" s="7"/>
      <c r="F44" s="21"/>
      <c r="G44" s="9"/>
      <c r="H44" s="10"/>
      <c r="I44" s="10"/>
      <c r="J44" s="9"/>
      <c r="K44" s="9"/>
      <c r="L44" s="9"/>
      <c r="M44" s="9"/>
    </row>
    <row r="45" spans="2:27" x14ac:dyDescent="0.2">
      <c r="B45" s="16"/>
      <c r="C45" s="20"/>
      <c r="D45" s="7"/>
      <c r="E45" s="7"/>
      <c r="F45" s="21"/>
      <c r="G45" s="9"/>
      <c r="H45" s="10"/>
      <c r="I45" s="10"/>
      <c r="J45" s="9"/>
      <c r="K45" s="9"/>
      <c r="L45" s="9"/>
      <c r="M45" s="9"/>
    </row>
    <row r="46" spans="2:27" x14ac:dyDescent="0.2">
      <c r="B46" s="13"/>
      <c r="C46" s="22"/>
      <c r="D46" s="7"/>
      <c r="E46" s="7"/>
      <c r="F46" s="23"/>
      <c r="G46" s="9"/>
      <c r="H46" s="10"/>
      <c r="I46" s="10"/>
      <c r="J46" s="9"/>
      <c r="K46" s="9"/>
      <c r="L46" s="9"/>
      <c r="M46" s="9"/>
    </row>
    <row r="47" spans="2:27" x14ac:dyDescent="0.2">
      <c r="B47" s="12">
        <v>39372</v>
      </c>
      <c r="C47" s="18"/>
      <c r="D47" s="7"/>
      <c r="E47" s="7"/>
      <c r="F47" s="19"/>
      <c r="G47" s="9"/>
      <c r="H47" s="10"/>
      <c r="I47" s="10"/>
      <c r="J47" s="9"/>
      <c r="K47" s="9"/>
      <c r="L47" s="9"/>
      <c r="M47" s="9"/>
    </row>
    <row r="48" spans="2:27" x14ac:dyDescent="0.2">
      <c r="B48" s="16"/>
      <c r="C48" s="20"/>
      <c r="D48" s="7"/>
      <c r="E48" s="7"/>
      <c r="F48" s="21"/>
      <c r="G48" s="9"/>
      <c r="H48" s="10"/>
      <c r="I48" s="10"/>
      <c r="J48" s="9"/>
      <c r="K48" s="9"/>
      <c r="L48" s="9"/>
      <c r="M48" s="9"/>
    </row>
    <row r="49" spans="2:13" x14ac:dyDescent="0.2">
      <c r="B49" s="13"/>
      <c r="C49" s="22"/>
      <c r="D49" s="7"/>
      <c r="E49" s="7"/>
      <c r="F49" s="23"/>
      <c r="G49" s="9"/>
      <c r="H49" s="10"/>
      <c r="I49" s="10"/>
      <c r="J49" s="9"/>
      <c r="K49" s="9"/>
      <c r="L49" s="9"/>
      <c r="M49" s="9"/>
    </row>
    <row r="50" spans="2:13" x14ac:dyDescent="0.2">
      <c r="B50" s="12">
        <v>39403</v>
      </c>
      <c r="C50" s="18"/>
      <c r="D50" s="7"/>
      <c r="E50" s="7"/>
      <c r="F50" s="19"/>
      <c r="G50" s="9"/>
      <c r="H50" s="10"/>
      <c r="I50" s="10"/>
      <c r="J50" s="9"/>
      <c r="K50" s="9"/>
      <c r="L50" s="9"/>
      <c r="M50" s="9"/>
    </row>
    <row r="51" spans="2:13" x14ac:dyDescent="0.2">
      <c r="B51" s="16"/>
      <c r="C51" s="20"/>
      <c r="D51" s="7"/>
      <c r="E51" s="7"/>
      <c r="F51" s="21"/>
      <c r="G51" s="9"/>
      <c r="H51" s="10"/>
      <c r="I51" s="10"/>
      <c r="J51" s="9"/>
      <c r="K51" s="9"/>
      <c r="L51" s="9"/>
      <c r="M51" s="9"/>
    </row>
    <row r="52" spans="2:13" x14ac:dyDescent="0.2">
      <c r="B52" s="16"/>
      <c r="C52" s="20"/>
      <c r="D52" s="7"/>
      <c r="E52" s="7"/>
      <c r="F52" s="21"/>
      <c r="G52" s="9"/>
      <c r="H52" s="10"/>
      <c r="I52" s="10"/>
      <c r="J52" s="9"/>
      <c r="K52" s="9"/>
      <c r="L52" s="9"/>
      <c r="M52" s="9"/>
    </row>
    <row r="53" spans="2:13" x14ac:dyDescent="0.2">
      <c r="B53" s="13"/>
      <c r="C53" s="22"/>
      <c r="D53" s="7"/>
      <c r="E53" s="7"/>
      <c r="F53" s="23"/>
      <c r="G53" s="9"/>
      <c r="H53" s="10"/>
      <c r="I53" s="10"/>
      <c r="J53" s="9"/>
      <c r="K53" s="9"/>
      <c r="L53" s="9"/>
      <c r="M53" s="9"/>
    </row>
    <row r="54" spans="2:13" x14ac:dyDescent="0.2">
      <c r="B54" s="12">
        <v>39407</v>
      </c>
      <c r="C54" s="18"/>
      <c r="D54" s="7"/>
      <c r="E54" s="7"/>
      <c r="F54" s="19"/>
      <c r="G54" s="9"/>
      <c r="H54" s="10"/>
      <c r="I54" s="10"/>
      <c r="J54" s="9"/>
      <c r="K54" s="9"/>
      <c r="L54" s="9"/>
      <c r="M54" s="9"/>
    </row>
    <row r="55" spans="2:13" x14ac:dyDescent="0.2">
      <c r="B55" s="16"/>
      <c r="C55" s="20"/>
      <c r="D55" s="7"/>
      <c r="E55" s="7"/>
      <c r="F55" s="21"/>
      <c r="G55" s="9"/>
      <c r="H55" s="10"/>
      <c r="I55" s="10"/>
      <c r="J55" s="9"/>
      <c r="K55" s="9"/>
      <c r="L55" s="9"/>
      <c r="M55" s="9"/>
    </row>
    <row r="56" spans="2:13" x14ac:dyDescent="0.2">
      <c r="B56" s="16"/>
      <c r="C56" s="20"/>
      <c r="D56" s="7"/>
      <c r="E56" s="7"/>
      <c r="F56" s="21"/>
      <c r="G56" s="9"/>
      <c r="H56" s="10"/>
      <c r="I56" s="10"/>
      <c r="J56" s="9"/>
      <c r="K56" s="9"/>
      <c r="L56" s="9"/>
      <c r="M56" s="9"/>
    </row>
    <row r="57" spans="2:13" x14ac:dyDescent="0.2">
      <c r="B57" s="13"/>
      <c r="C57" s="22"/>
      <c r="D57" s="7"/>
      <c r="E57" s="7"/>
      <c r="F57" s="23"/>
      <c r="G57" s="9"/>
      <c r="H57" s="10"/>
      <c r="I57" s="10"/>
      <c r="J57" s="9"/>
      <c r="K57" s="9"/>
      <c r="L57" s="9"/>
      <c r="M57" s="9"/>
    </row>
  </sheetData>
  <sheetProtection selectLockedCells="1" selectUnlockedCells="1"/>
  <mergeCells count="3">
    <mergeCell ref="V2:Z2"/>
    <mergeCell ref="V3:Z7"/>
    <mergeCell ref="O11:T11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F4"/>
  <sheetViews>
    <sheetView view="pageBreakPreview" zoomScale="50" zoomScaleSheetLayoutView="50" workbookViewId="0">
      <selection activeCell="E2" sqref="E2"/>
    </sheetView>
  </sheetViews>
  <sheetFormatPr defaultColWidth="25.7109375" defaultRowHeight="84.95" customHeight="1" x14ac:dyDescent="0.95"/>
  <cols>
    <col min="1" max="6" width="23.7109375" style="264" customWidth="1"/>
    <col min="7" max="16384" width="25.7109375" style="264"/>
  </cols>
  <sheetData>
    <row r="1" spans="1:6" ht="135" customHeight="1" x14ac:dyDescent="0.95">
      <c r="A1" s="265" t="s">
        <v>53</v>
      </c>
      <c r="B1" s="265" t="s">
        <v>55</v>
      </c>
      <c r="C1" s="265" t="s">
        <v>57</v>
      </c>
      <c r="D1" s="265" t="s">
        <v>59</v>
      </c>
      <c r="E1" s="265" t="s">
        <v>54</v>
      </c>
      <c r="F1" s="265" t="s">
        <v>58</v>
      </c>
    </row>
    <row r="2" spans="1:6" ht="135" customHeight="1" x14ac:dyDescent="0.95">
      <c r="A2" s="265" t="s">
        <v>89</v>
      </c>
      <c r="B2" s="265" t="s">
        <v>90</v>
      </c>
      <c r="C2" s="265" t="s">
        <v>91</v>
      </c>
      <c r="D2" s="265" t="s">
        <v>92</v>
      </c>
      <c r="E2" s="265" t="s">
        <v>93</v>
      </c>
      <c r="F2" s="265" t="s">
        <v>94</v>
      </c>
    </row>
    <row r="3" spans="1:6" ht="135" customHeight="1" x14ac:dyDescent="0.95">
      <c r="A3" s="265" t="s">
        <v>95</v>
      </c>
      <c r="B3" s="265" t="s">
        <v>96</v>
      </c>
      <c r="C3" s="265" t="s">
        <v>97</v>
      </c>
      <c r="D3" s="265" t="s">
        <v>98</v>
      </c>
      <c r="E3" s="265" t="s">
        <v>99</v>
      </c>
      <c r="F3" s="265" t="s">
        <v>100</v>
      </c>
    </row>
    <row r="4" spans="1:6" ht="135" customHeight="1" x14ac:dyDescent="0.95">
      <c r="A4" s="265" t="s">
        <v>101</v>
      </c>
      <c r="B4" s="265" t="s">
        <v>102</v>
      </c>
      <c r="C4" s="265" t="s">
        <v>103</v>
      </c>
      <c r="D4" s="265" t="s">
        <v>104</v>
      </c>
      <c r="E4" s="265" t="s">
        <v>105</v>
      </c>
      <c r="F4" s="265" t="s">
        <v>106</v>
      </c>
    </row>
  </sheetData>
  <sheetProtection selectLockedCells="1" selectUnlockedCells="1"/>
  <pageMargins left="0.37986111111111109" right="0.25972222222222224" top="0.25" bottom="0.27986111111111112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A21"/>
  <sheetViews>
    <sheetView view="pageBreakPreview" topLeftCell="A5" zoomScale="50" zoomScaleSheetLayoutView="50" workbookViewId="0">
      <selection activeCell="A21" sqref="A21"/>
    </sheetView>
  </sheetViews>
  <sheetFormatPr defaultRowHeight="12.75" x14ac:dyDescent="0.2"/>
  <cols>
    <col min="1" max="1" width="61" customWidth="1"/>
  </cols>
  <sheetData>
    <row r="1" spans="1:1" ht="26.25" x14ac:dyDescent="0.4">
      <c r="A1" s="266" t="s">
        <v>107</v>
      </c>
    </row>
    <row r="2" spans="1:1" ht="26.25" x14ac:dyDescent="0.4">
      <c r="A2" s="267"/>
    </row>
    <row r="3" spans="1:1" ht="26.25" x14ac:dyDescent="0.4">
      <c r="A3" s="268"/>
    </row>
    <row r="4" spans="1:1" ht="18.75" x14ac:dyDescent="0.3">
      <c r="A4" s="269"/>
    </row>
    <row r="5" spans="1:1" ht="26.25" x14ac:dyDescent="0.4">
      <c r="A5" s="268"/>
    </row>
    <row r="6" spans="1:1" ht="26.25" x14ac:dyDescent="0.4">
      <c r="A6" s="268" t="s">
        <v>108</v>
      </c>
    </row>
    <row r="7" spans="1:1" ht="26.25" x14ac:dyDescent="0.4">
      <c r="A7" s="268" t="s">
        <v>109</v>
      </c>
    </row>
    <row r="8" spans="1:1" ht="26.25" x14ac:dyDescent="0.4">
      <c r="A8" s="268" t="s">
        <v>110</v>
      </c>
    </row>
    <row r="9" spans="1:1" ht="26.25" x14ac:dyDescent="0.4">
      <c r="A9" s="268" t="s">
        <v>111</v>
      </c>
    </row>
    <row r="10" spans="1:1" ht="26.25" x14ac:dyDescent="0.4">
      <c r="A10" s="268" t="s">
        <v>112</v>
      </c>
    </row>
    <row r="11" spans="1:1" ht="26.25" x14ac:dyDescent="0.4">
      <c r="A11" s="268" t="s">
        <v>113</v>
      </c>
    </row>
    <row r="12" spans="1:1" ht="26.25" x14ac:dyDescent="0.4">
      <c r="A12" s="268" t="s">
        <v>114</v>
      </c>
    </row>
    <row r="13" spans="1:1" ht="26.25" x14ac:dyDescent="0.4">
      <c r="A13" s="268" t="s">
        <v>115</v>
      </c>
    </row>
    <row r="14" spans="1:1" ht="26.25" x14ac:dyDescent="0.4">
      <c r="A14" s="268" t="s">
        <v>116</v>
      </c>
    </row>
    <row r="15" spans="1:1" ht="26.25" x14ac:dyDescent="0.4">
      <c r="A15" s="268" t="s">
        <v>117</v>
      </c>
    </row>
    <row r="16" spans="1:1" ht="26.25" x14ac:dyDescent="0.4">
      <c r="A16" s="268" t="s">
        <v>118</v>
      </c>
    </row>
    <row r="17" spans="1:1" ht="26.25" x14ac:dyDescent="0.4">
      <c r="A17" s="268" t="s">
        <v>119</v>
      </c>
    </row>
    <row r="18" spans="1:1" ht="26.25" x14ac:dyDescent="0.4">
      <c r="A18" s="268" t="s">
        <v>120</v>
      </c>
    </row>
    <row r="19" spans="1:1" ht="26.25" x14ac:dyDescent="0.4">
      <c r="A19" s="267" t="s">
        <v>121</v>
      </c>
    </row>
    <row r="20" spans="1:1" ht="20.25" x14ac:dyDescent="0.3">
      <c r="A20" s="270" t="s">
        <v>122</v>
      </c>
    </row>
    <row r="21" spans="1:1" ht="26.25" x14ac:dyDescent="0.4">
      <c r="A21" s="267" t="s">
        <v>123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H34"/>
  <sheetViews>
    <sheetView view="pageBreakPreview" zoomScale="50" zoomScaleSheetLayoutView="50" workbookViewId="0">
      <selection activeCell="E25" sqref="E25"/>
    </sheetView>
  </sheetViews>
  <sheetFormatPr defaultRowHeight="12.75" x14ac:dyDescent="0.2"/>
  <cols>
    <col min="1" max="1" width="5.5703125" customWidth="1"/>
    <col min="2" max="2" width="32.85546875" customWidth="1"/>
    <col min="3" max="3" width="14.7109375" customWidth="1"/>
    <col min="4" max="4" width="12.7109375" style="271" customWidth="1"/>
    <col min="5" max="5" width="10.42578125" customWidth="1"/>
    <col min="6" max="6" width="15.5703125" customWidth="1"/>
  </cols>
  <sheetData>
    <row r="1" spans="1:8" ht="15.75" x14ac:dyDescent="0.25">
      <c r="A1" s="401" t="s">
        <v>124</v>
      </c>
      <c r="B1" s="401"/>
      <c r="C1" s="401"/>
      <c r="D1" s="401"/>
      <c r="E1" s="401"/>
      <c r="F1" s="401"/>
    </row>
    <row r="2" spans="1:8" x14ac:dyDescent="0.2">
      <c r="A2" s="272" t="s">
        <v>125</v>
      </c>
      <c r="B2" s="273" t="s">
        <v>126</v>
      </c>
      <c r="C2" s="273" t="s">
        <v>127</v>
      </c>
      <c r="D2" s="274" t="s">
        <v>128</v>
      </c>
      <c r="E2" s="273" t="s">
        <v>129</v>
      </c>
      <c r="F2" s="275" t="s">
        <v>130</v>
      </c>
    </row>
    <row r="3" spans="1:8" x14ac:dyDescent="0.2">
      <c r="A3" s="272">
        <v>1</v>
      </c>
      <c r="B3" s="276" t="s">
        <v>131</v>
      </c>
      <c r="C3" s="276"/>
      <c r="D3" s="277" t="s">
        <v>132</v>
      </c>
      <c r="E3" s="278">
        <v>160</v>
      </c>
      <c r="F3" s="279">
        <v>39198</v>
      </c>
    </row>
    <row r="4" spans="1:8" x14ac:dyDescent="0.2">
      <c r="A4" s="272">
        <v>2</v>
      </c>
      <c r="B4" s="276" t="s">
        <v>133</v>
      </c>
      <c r="C4" s="276" t="s">
        <v>134</v>
      </c>
      <c r="D4" s="277" t="s">
        <v>132</v>
      </c>
      <c r="E4" s="278">
        <v>160</v>
      </c>
      <c r="F4" s="279">
        <v>39198</v>
      </c>
    </row>
    <row r="5" spans="1:8" x14ac:dyDescent="0.2">
      <c r="A5" s="272">
        <v>3</v>
      </c>
      <c r="B5" s="276" t="s">
        <v>135</v>
      </c>
      <c r="C5" s="276" t="s">
        <v>136</v>
      </c>
      <c r="D5" s="277" t="s">
        <v>132</v>
      </c>
      <c r="E5" s="278">
        <v>160</v>
      </c>
      <c r="F5" s="279">
        <v>39198</v>
      </c>
    </row>
    <row r="6" spans="1:8" x14ac:dyDescent="0.2">
      <c r="A6" s="272">
        <v>4</v>
      </c>
      <c r="B6" s="276" t="s">
        <v>137</v>
      </c>
      <c r="C6" s="276" t="s">
        <v>138</v>
      </c>
      <c r="D6" s="277" t="s">
        <v>132</v>
      </c>
      <c r="E6" s="278">
        <v>160</v>
      </c>
      <c r="F6" s="279">
        <v>39198</v>
      </c>
    </row>
    <row r="7" spans="1:8" x14ac:dyDescent="0.2">
      <c r="A7" s="272">
        <v>5</v>
      </c>
      <c r="B7" s="276" t="s">
        <v>139</v>
      </c>
      <c r="C7" s="280" t="s">
        <v>140</v>
      </c>
      <c r="D7" s="277" t="s">
        <v>132</v>
      </c>
      <c r="E7" s="278">
        <v>160</v>
      </c>
      <c r="F7" s="279">
        <v>39199</v>
      </c>
    </row>
    <row r="8" spans="1:8" x14ac:dyDescent="0.2">
      <c r="A8" s="272">
        <v>6</v>
      </c>
      <c r="B8" s="276" t="s">
        <v>141</v>
      </c>
      <c r="C8" s="276" t="s">
        <v>142</v>
      </c>
      <c r="D8" s="277" t="s">
        <v>132</v>
      </c>
      <c r="E8" s="278">
        <v>160</v>
      </c>
      <c r="F8" s="279">
        <v>39199</v>
      </c>
    </row>
    <row r="9" spans="1:8" x14ac:dyDescent="0.2">
      <c r="A9" s="272">
        <v>7</v>
      </c>
      <c r="B9" s="276" t="s">
        <v>143</v>
      </c>
      <c r="C9" s="276" t="s">
        <v>144</v>
      </c>
      <c r="D9" s="277" t="s">
        <v>145</v>
      </c>
      <c r="E9" s="278">
        <v>160</v>
      </c>
      <c r="F9" s="279">
        <v>39203</v>
      </c>
    </row>
    <row r="10" spans="1:8" x14ac:dyDescent="0.2">
      <c r="A10" s="272">
        <v>8</v>
      </c>
      <c r="B10" s="276" t="s">
        <v>146</v>
      </c>
      <c r="C10" s="276" t="s">
        <v>147</v>
      </c>
      <c r="D10" s="277" t="s">
        <v>148</v>
      </c>
      <c r="E10" s="278">
        <v>160</v>
      </c>
      <c r="F10" s="279">
        <v>39203</v>
      </c>
    </row>
    <row r="11" spans="1:8" x14ac:dyDescent="0.2">
      <c r="A11" s="272">
        <v>9</v>
      </c>
      <c r="B11" s="276" t="s">
        <v>149</v>
      </c>
      <c r="C11" s="280" t="s">
        <v>150</v>
      </c>
      <c r="D11" s="277" t="s">
        <v>148</v>
      </c>
      <c r="E11" s="278">
        <v>160</v>
      </c>
      <c r="F11" s="279">
        <v>39203</v>
      </c>
      <c r="H11" s="11"/>
    </row>
    <row r="12" spans="1:8" x14ac:dyDescent="0.2">
      <c r="A12" s="272">
        <v>10</v>
      </c>
      <c r="B12" s="276" t="s">
        <v>151</v>
      </c>
      <c r="C12" s="276" t="s">
        <v>152</v>
      </c>
      <c r="D12" s="277" t="s">
        <v>132</v>
      </c>
      <c r="E12" s="278">
        <v>160</v>
      </c>
      <c r="F12" s="279">
        <v>39203</v>
      </c>
    </row>
    <row r="13" spans="1:8" x14ac:dyDescent="0.2">
      <c r="A13" s="272">
        <v>11</v>
      </c>
      <c r="B13" s="276" t="s">
        <v>153</v>
      </c>
      <c r="C13" s="276" t="s">
        <v>154</v>
      </c>
      <c r="D13" s="277" t="s">
        <v>132</v>
      </c>
      <c r="E13" s="278">
        <v>160</v>
      </c>
      <c r="F13" s="279">
        <v>39204</v>
      </c>
    </row>
    <row r="14" spans="1:8" x14ac:dyDescent="0.2">
      <c r="A14" s="272">
        <v>12</v>
      </c>
      <c r="B14" s="276" t="s">
        <v>155</v>
      </c>
      <c r="C14" s="276" t="s">
        <v>156</v>
      </c>
      <c r="D14" s="277" t="s">
        <v>132</v>
      </c>
      <c r="E14" s="278">
        <v>160</v>
      </c>
      <c r="F14" s="279">
        <v>39205</v>
      </c>
    </row>
    <row r="15" spans="1:8" x14ac:dyDescent="0.2">
      <c r="A15" s="272">
        <v>13</v>
      </c>
      <c r="B15" s="276" t="s">
        <v>157</v>
      </c>
      <c r="C15" s="276" t="s">
        <v>158</v>
      </c>
      <c r="D15" s="277" t="s">
        <v>132</v>
      </c>
      <c r="E15" s="278">
        <v>160</v>
      </c>
      <c r="F15" s="279">
        <v>39205</v>
      </c>
    </row>
    <row r="16" spans="1:8" x14ac:dyDescent="0.2">
      <c r="A16" s="272">
        <v>14</v>
      </c>
      <c r="B16" s="276" t="s">
        <v>159</v>
      </c>
      <c r="C16" s="276" t="s">
        <v>160</v>
      </c>
      <c r="D16" s="277" t="s">
        <v>132</v>
      </c>
      <c r="E16" s="278">
        <v>160</v>
      </c>
      <c r="F16" s="279">
        <v>39205</v>
      </c>
    </row>
    <row r="17" spans="1:6" x14ac:dyDescent="0.2">
      <c r="A17" s="272">
        <v>15</v>
      </c>
      <c r="B17" s="276" t="s">
        <v>161</v>
      </c>
      <c r="C17" s="276" t="s">
        <v>162</v>
      </c>
      <c r="D17" s="277" t="s">
        <v>148</v>
      </c>
      <c r="E17" s="278">
        <v>160</v>
      </c>
      <c r="F17" s="279">
        <v>39175</v>
      </c>
    </row>
    <row r="18" spans="1:6" x14ac:dyDescent="0.2">
      <c r="A18" s="272">
        <v>16</v>
      </c>
      <c r="B18" s="276" t="s">
        <v>163</v>
      </c>
      <c r="C18" s="276" t="s">
        <v>164</v>
      </c>
      <c r="D18" s="277" t="s">
        <v>148</v>
      </c>
      <c r="E18" s="278">
        <v>160</v>
      </c>
      <c r="F18" s="279">
        <v>39205</v>
      </c>
    </row>
    <row r="19" spans="1:6" x14ac:dyDescent="0.2">
      <c r="A19" s="272">
        <v>17</v>
      </c>
      <c r="B19" s="276" t="s">
        <v>165</v>
      </c>
      <c r="C19" s="276" t="s">
        <v>166</v>
      </c>
      <c r="D19" s="277" t="s">
        <v>132</v>
      </c>
      <c r="E19" s="278">
        <v>160</v>
      </c>
      <c r="F19" s="279">
        <v>39205</v>
      </c>
    </row>
    <row r="20" spans="1:6" x14ac:dyDescent="0.2">
      <c r="A20" s="272">
        <v>18</v>
      </c>
      <c r="B20" s="276" t="s">
        <v>167</v>
      </c>
      <c r="C20" s="276" t="s">
        <v>168</v>
      </c>
      <c r="D20" s="277" t="s">
        <v>132</v>
      </c>
      <c r="E20" s="278">
        <v>160</v>
      </c>
      <c r="F20" s="279">
        <v>39206</v>
      </c>
    </row>
    <row r="21" spans="1:6" x14ac:dyDescent="0.2">
      <c r="A21" s="272">
        <v>19</v>
      </c>
      <c r="B21" s="276" t="s">
        <v>169</v>
      </c>
      <c r="C21" s="276"/>
      <c r="D21" s="277" t="s">
        <v>132</v>
      </c>
      <c r="E21" s="278"/>
      <c r="F21" s="279"/>
    </row>
    <row r="22" spans="1:6" x14ac:dyDescent="0.2">
      <c r="A22" s="272">
        <v>20</v>
      </c>
      <c r="B22" s="281" t="s">
        <v>170</v>
      </c>
      <c r="C22" s="276" t="s">
        <v>171</v>
      </c>
      <c r="D22" s="277" t="s">
        <v>132</v>
      </c>
      <c r="E22" s="278">
        <v>160</v>
      </c>
      <c r="F22" s="279">
        <v>39206</v>
      </c>
    </row>
    <row r="23" spans="1:6" x14ac:dyDescent="0.2">
      <c r="A23" s="272">
        <v>21</v>
      </c>
      <c r="B23" s="281" t="s">
        <v>172</v>
      </c>
      <c r="C23" s="276" t="s">
        <v>173</v>
      </c>
      <c r="D23" s="277" t="s">
        <v>148</v>
      </c>
      <c r="E23" s="278"/>
      <c r="F23" s="279">
        <v>39206</v>
      </c>
    </row>
    <row r="24" spans="1:6" x14ac:dyDescent="0.2">
      <c r="A24" s="272">
        <v>22</v>
      </c>
      <c r="B24" s="281" t="s">
        <v>174</v>
      </c>
      <c r="C24" s="276" t="s">
        <v>175</v>
      </c>
      <c r="D24" s="277" t="s">
        <v>148</v>
      </c>
      <c r="E24" s="278">
        <v>160</v>
      </c>
      <c r="F24" s="279">
        <v>39206</v>
      </c>
    </row>
    <row r="25" spans="1:6" x14ac:dyDescent="0.2">
      <c r="A25" s="272">
        <v>23</v>
      </c>
      <c r="B25" s="281" t="s">
        <v>176</v>
      </c>
      <c r="C25" s="276" t="s">
        <v>177</v>
      </c>
      <c r="D25" s="277" t="s">
        <v>148</v>
      </c>
      <c r="E25" s="278"/>
      <c r="F25" s="279">
        <v>39206</v>
      </c>
    </row>
    <row r="26" spans="1:6" x14ac:dyDescent="0.2">
      <c r="A26" s="272">
        <v>24</v>
      </c>
      <c r="B26" s="281" t="s">
        <v>178</v>
      </c>
      <c r="C26" s="276" t="s">
        <v>48</v>
      </c>
      <c r="D26" s="277" t="s">
        <v>148</v>
      </c>
      <c r="E26" s="278">
        <v>160</v>
      </c>
      <c r="F26" s="279">
        <v>39206</v>
      </c>
    </row>
    <row r="27" spans="1:6" x14ac:dyDescent="0.2">
      <c r="A27" s="272">
        <v>25</v>
      </c>
      <c r="B27" s="281" t="s">
        <v>179</v>
      </c>
      <c r="C27" s="280"/>
      <c r="D27" s="277" t="s">
        <v>148</v>
      </c>
      <c r="E27" s="278">
        <v>160</v>
      </c>
      <c r="F27" s="279">
        <v>39206</v>
      </c>
    </row>
    <row r="28" spans="1:6" hidden="1" x14ac:dyDescent="0.2">
      <c r="A28" s="272">
        <v>26</v>
      </c>
    </row>
    <row r="29" spans="1:6" hidden="1" x14ac:dyDescent="0.2">
      <c r="A29" s="272">
        <v>27</v>
      </c>
      <c r="B29" s="276"/>
      <c r="C29" s="276"/>
      <c r="D29" s="277"/>
      <c r="E29" s="276"/>
      <c r="F29" s="282"/>
    </row>
    <row r="30" spans="1:6" hidden="1" x14ac:dyDescent="0.2">
      <c r="A30" s="272">
        <v>28</v>
      </c>
      <c r="B30" s="276"/>
      <c r="C30" s="276"/>
      <c r="D30" s="277"/>
      <c r="E30" s="276"/>
      <c r="F30" s="282"/>
    </row>
    <row r="31" spans="1:6" hidden="1" x14ac:dyDescent="0.2">
      <c r="A31" s="272">
        <v>29</v>
      </c>
      <c r="B31" s="276"/>
      <c r="C31" s="276"/>
      <c r="D31" s="277"/>
      <c r="E31" s="276"/>
      <c r="F31" s="282"/>
    </row>
    <row r="32" spans="1:6" hidden="1" x14ac:dyDescent="0.2">
      <c r="A32" s="272">
        <v>30</v>
      </c>
      <c r="B32" s="276"/>
      <c r="C32" s="276"/>
      <c r="D32" s="277"/>
      <c r="E32" s="276"/>
      <c r="F32" s="282"/>
    </row>
    <row r="33" spans="1:6" hidden="1" x14ac:dyDescent="0.2">
      <c r="A33" s="283">
        <v>31</v>
      </c>
      <c r="B33" s="284"/>
      <c r="C33" s="284"/>
      <c r="D33" s="285"/>
      <c r="E33" s="284"/>
      <c r="F33" s="286"/>
    </row>
    <row r="34" spans="1:6" x14ac:dyDescent="0.2">
      <c r="D34" s="271" t="s">
        <v>180</v>
      </c>
      <c r="E34" s="11">
        <f>SUM(E3:E27)</f>
        <v>3520</v>
      </c>
    </row>
  </sheetData>
  <sheetProtection selectLockedCells="1" selectUnlockedCells="1"/>
  <mergeCells count="1">
    <mergeCell ref="A1:F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tabColor indexed="10"/>
  </sheetPr>
  <dimension ref="A1:X172"/>
  <sheetViews>
    <sheetView view="pageBreakPreview" topLeftCell="F1" zoomScale="50" zoomScaleSheetLayoutView="50" workbookViewId="0">
      <selection activeCell="H40" sqref="H40"/>
    </sheetView>
  </sheetViews>
  <sheetFormatPr defaultRowHeight="12.75" x14ac:dyDescent="0.2"/>
  <cols>
    <col min="1" max="6" width="9.42578125" customWidth="1"/>
    <col min="7" max="7" width="10.5703125" customWidth="1"/>
    <col min="8" max="8" width="14.85546875" customWidth="1"/>
    <col min="11" max="11" width="19.5703125" customWidth="1"/>
    <col min="14" max="14" width="20.85546875" customWidth="1"/>
    <col min="15" max="16" width="3" customWidth="1"/>
    <col min="17" max="17" width="2.85546875" customWidth="1"/>
    <col min="18" max="21" width="3" customWidth="1"/>
    <col min="22" max="22" width="10.5703125" customWidth="1"/>
    <col min="23" max="23" width="11.85546875" customWidth="1"/>
    <col min="24" max="24" width="12" customWidth="1"/>
    <col min="25" max="25" width="5.5703125" customWidth="1"/>
  </cols>
  <sheetData>
    <row r="1" spans="1:24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03"/>
      <c r="M1" s="403"/>
      <c r="N1" s="287"/>
      <c r="O1" s="288" t="s">
        <v>36</v>
      </c>
      <c r="P1" s="288" t="s">
        <v>11</v>
      </c>
      <c r="Q1" s="288" t="s">
        <v>12</v>
      </c>
      <c r="R1" s="288" t="s">
        <v>13</v>
      </c>
      <c r="S1" s="288" t="s">
        <v>1</v>
      </c>
      <c r="T1" s="288" t="s">
        <v>14</v>
      </c>
      <c r="U1" s="288" t="s">
        <v>10</v>
      </c>
      <c r="V1" s="288" t="s">
        <v>181</v>
      </c>
      <c r="W1" s="288" t="s">
        <v>182</v>
      </c>
      <c r="X1" s="288" t="s">
        <v>183</v>
      </c>
    </row>
    <row r="2" spans="1:24" x14ac:dyDescent="0.2">
      <c r="A2" s="289" t="s">
        <v>36</v>
      </c>
      <c r="B2" s="289" t="s">
        <v>184</v>
      </c>
      <c r="C2" s="289" t="s">
        <v>12</v>
      </c>
      <c r="D2" s="289" t="s">
        <v>185</v>
      </c>
      <c r="E2" s="289" t="s">
        <v>186</v>
      </c>
      <c r="F2" s="289" t="s">
        <v>187</v>
      </c>
      <c r="G2" s="289" t="s">
        <v>188</v>
      </c>
      <c r="H2" s="289" t="s">
        <v>189</v>
      </c>
      <c r="I2" s="287"/>
      <c r="J2" s="287"/>
      <c r="K2" s="290" t="e">
        <f>(((($U2*100+$V2)*100+$W2)*100+$X2)*100+$S2)*100+ROW($K$1)-ROW()</f>
        <v>#REF!</v>
      </c>
      <c r="L2" s="402" t="e">
        <f>RANK(K2,$K$2:$K$5)</f>
        <v>#REF!</v>
      </c>
      <c r="M2" s="402"/>
      <c r="N2" s="291" t="e">
        <f>#REF!</f>
        <v>#REF!</v>
      </c>
      <c r="O2" s="290" t="e">
        <f>SUMIF(#REF!,$N2,$A$3:$A$374)+SUMIF(#REF!,$N2,$A$3:$A$374)</f>
        <v>#REF!</v>
      </c>
      <c r="P2" s="290" t="e">
        <f>SUMIF(#REF!,$N2,$B$3:$B$374)+SUMIF(#REF!,$N2,$D$3:$D$374)</f>
        <v>#REF!</v>
      </c>
      <c r="Q2" s="290" t="e">
        <f>SUMIF(#REF!,$N2,$C$3:$C$374)+SUMIF(#REF!,$N2,$C$3:$C$374)</f>
        <v>#REF!</v>
      </c>
      <c r="R2" s="290" t="e">
        <f>O2-P2-Q2</f>
        <v>#REF!</v>
      </c>
      <c r="S2" s="290" t="e">
        <f>SUMIF(#REF!,$N2,#REF!)+SUMIF(#REF!,$N2,#REF!)</f>
        <v>#REF!</v>
      </c>
      <c r="T2" s="290" t="e">
        <f>SUMIF(#REF!,$N2,#REF!)+SUMIF(#REF!,$N2,#REF!)</f>
        <v>#REF!</v>
      </c>
      <c r="U2" s="292" t="e">
        <f>P2*3+Q2</f>
        <v>#REF!</v>
      </c>
      <c r="V2" s="290" t="e">
        <f>SUMIF(#REF!,$N2,$F$3:$F$374)-SUMIF(#REF!,$N2,$F$3:$F$374)</f>
        <v>#REF!</v>
      </c>
      <c r="W2" s="290" t="e">
        <f>SUMIF(#REF!,$N2,$G$3:$G$374)-SUMIF(#REF!,$N2,$G$3:$G$374)</f>
        <v>#REF!</v>
      </c>
      <c r="X2" s="290" t="e">
        <f>S2-T2</f>
        <v>#REF!</v>
      </c>
    </row>
    <row r="3" spans="1:24" x14ac:dyDescent="0.2">
      <c r="A3" s="293">
        <f>IF(OR(ISBLANK(#REF!),ISBLANK(#REF!)),0,1)</f>
        <v>1</v>
      </c>
      <c r="B3" s="293" t="e">
        <f>IF(AND($A3=1,#REF!&gt;#REF!),1,0)</f>
        <v>#REF!</v>
      </c>
      <c r="C3" s="293" t="e">
        <f>IF(AND($A3=1,#REF!=#REF!),1,0)</f>
        <v>#REF!</v>
      </c>
      <c r="D3" s="293" t="e">
        <f>IF(AND($A3=1,#REF!&lt;#REF!),1,0)</f>
        <v>#REF!</v>
      </c>
      <c r="E3" s="293" t="e">
        <f>IF(VLOOKUP(#REF!,$N$2:$U$19,8,FALSE)=VLOOKUP(#REF!,$N$2:$U$19,8,FALSE),1,0)</f>
        <v>#REF!</v>
      </c>
      <c r="F3" s="294" t="e">
        <f t="shared" ref="F3:F11" si="0">IF($E3=1,2*$B3-2*$D3,0)</f>
        <v>#REF!</v>
      </c>
      <c r="G3" s="294" t="e">
        <f>IF($E3=1,#REF!-#REF!,0)</f>
        <v>#REF!</v>
      </c>
      <c r="H3" s="294" t="e">
        <f>IF($E3=1,#REF!,0)</f>
        <v>#REF!</v>
      </c>
      <c r="I3" s="287"/>
      <c r="J3" s="287"/>
      <c r="K3" s="290" t="e">
        <f>(((($U3*100+$V3)*100+$W3)*100+$X3)*100+$S3)*100+ROW($K$1)-ROW()</f>
        <v>#REF!</v>
      </c>
      <c r="L3" s="402" t="e">
        <f>RANK(K3,$K$2:$K$5)</f>
        <v>#REF!</v>
      </c>
      <c r="M3" s="402"/>
      <c r="N3" s="291" t="e">
        <f>#REF!</f>
        <v>#REF!</v>
      </c>
      <c r="O3" s="290" t="e">
        <f>SUMIF(#REF!,$N3,$A$3:$A$374)+SUMIF(#REF!,$N3,$A$3:$A$374)</f>
        <v>#REF!</v>
      </c>
      <c r="P3" s="290" t="e">
        <f>SUMIF(#REF!,$N3,$B$3:$B$374)+SUMIF(#REF!,$N3,$D$3:$D$374)</f>
        <v>#REF!</v>
      </c>
      <c r="Q3" s="290" t="e">
        <f>SUMIF(#REF!,$N3,$C$3:$C$374)+SUMIF(#REF!,$N3,$C$3:$C$374)</f>
        <v>#REF!</v>
      </c>
      <c r="R3" s="290" t="e">
        <f>O3-P3-Q3</f>
        <v>#REF!</v>
      </c>
      <c r="S3" s="290" t="e">
        <f>SUMIF(#REF!,$N3,#REF!)+SUMIF(#REF!,$N3,#REF!)</f>
        <v>#REF!</v>
      </c>
      <c r="T3" s="290" t="e">
        <f>SUMIF(#REF!,$N3,#REF!)+SUMIF(#REF!,$N3,#REF!)</f>
        <v>#REF!</v>
      </c>
      <c r="U3" s="292" t="e">
        <f>P3*3+Q3</f>
        <v>#REF!</v>
      </c>
      <c r="V3" s="290" t="e">
        <f>SUMIF(#REF!,$N3,$F$3:$F$374)-SUMIF(#REF!,$N3,$F$3:$F$374)</f>
        <v>#REF!</v>
      </c>
      <c r="W3" s="290" t="e">
        <f>SUMIF(#REF!,$N3,$G$3:$G$374)-SUMIF(#REF!,$N3,$G$3:$G$374)</f>
        <v>#REF!</v>
      </c>
      <c r="X3" s="290" t="e">
        <f>S3-T3</f>
        <v>#REF!</v>
      </c>
    </row>
    <row r="4" spans="1:24" x14ac:dyDescent="0.2">
      <c r="A4" s="293">
        <f>IF(OR(ISBLANK(#REF!),ISBLANK(#REF!)),0,1)</f>
        <v>1</v>
      </c>
      <c r="B4" s="293" t="e">
        <f>IF(AND($A4=1,#REF!&gt;#REF!),1,0)</f>
        <v>#REF!</v>
      </c>
      <c r="C4" s="293" t="e">
        <f>IF(AND($A4=1,#REF!=#REF!),1,0)</f>
        <v>#REF!</v>
      </c>
      <c r="D4" s="293" t="e">
        <f>IF(AND($A4=1,#REF!&lt;#REF!),1,0)</f>
        <v>#REF!</v>
      </c>
      <c r="E4" s="293" t="e">
        <f>IF(VLOOKUP(#REF!,$N$2:$U$19,8,FALSE)=VLOOKUP(#REF!,$N$2:$U$19,8,FALSE),1,0)</f>
        <v>#REF!</v>
      </c>
      <c r="F4" s="294" t="e">
        <f t="shared" si="0"/>
        <v>#REF!</v>
      </c>
      <c r="G4" s="294" t="e">
        <f>IF($E4=1,#REF!-#REF!,0)</f>
        <v>#REF!</v>
      </c>
      <c r="H4" s="294" t="e">
        <f>IF($E4=1,#REF!,0)</f>
        <v>#REF!</v>
      </c>
      <c r="I4" s="287"/>
      <c r="J4" s="287"/>
      <c r="K4" s="290" t="e">
        <f>(((($U4*100+$V4)*100+$W4)*100+$X4)*100+$S4)*100+ROW($K$1)-ROW()</f>
        <v>#REF!</v>
      </c>
      <c r="L4" s="402" t="e">
        <f>RANK(K4,$K$2:$K$5)</f>
        <v>#REF!</v>
      </c>
      <c r="M4" s="402"/>
      <c r="N4" s="291" t="e">
        <f>#REF!</f>
        <v>#REF!</v>
      </c>
      <c r="O4" s="290" t="e">
        <f>SUMIF(#REF!,$N4,$A$3:$A$374)+SUMIF(#REF!,$N4,$A$3:$A$374)</f>
        <v>#REF!</v>
      </c>
      <c r="P4" s="290" t="e">
        <f>SUMIF(#REF!,$N4,$B$3:$B$374)+SUMIF(#REF!,$N4,$D$3:$D$374)</f>
        <v>#REF!</v>
      </c>
      <c r="Q4" s="290" t="e">
        <f>SUMIF(#REF!,$N4,$C$3:$C$374)+SUMIF(#REF!,$N4,$C$3:$C$374)</f>
        <v>#REF!</v>
      </c>
      <c r="R4" s="290" t="e">
        <f>O4-P4-Q4</f>
        <v>#REF!</v>
      </c>
      <c r="S4" s="290" t="e">
        <f>SUMIF(#REF!,$N4,#REF!)+SUMIF(#REF!,$N4,#REF!)</f>
        <v>#REF!</v>
      </c>
      <c r="T4" s="290" t="e">
        <f>SUMIF(#REF!,$N4,#REF!)+SUMIF(#REF!,$N4,#REF!)</f>
        <v>#REF!</v>
      </c>
      <c r="U4" s="292" t="e">
        <f>P4*3+Q4</f>
        <v>#REF!</v>
      </c>
      <c r="V4" s="290" t="e">
        <f>SUMIF(#REF!,$N4,$F$3:$F$374)-SUMIF(#REF!,$N4,$F$3:$F$374)</f>
        <v>#REF!</v>
      </c>
      <c r="W4" s="290" t="e">
        <f>SUMIF(#REF!,$N4,$G$3:$G$374)-SUMIF(#REF!,$N4,$G$3:$G$374)</f>
        <v>#REF!</v>
      </c>
      <c r="X4" s="290" t="e">
        <f>S4-T4</f>
        <v>#REF!</v>
      </c>
    </row>
    <row r="5" spans="1:24" ht="15.75" customHeight="1" x14ac:dyDescent="0.2">
      <c r="A5" s="293">
        <f>IF(OR(ISBLANK(#REF!),ISBLANK(#REF!)),0,1)</f>
        <v>1</v>
      </c>
      <c r="B5" s="293" t="e">
        <f>IF(AND($A5=1,#REF!&gt;#REF!),1,0)</f>
        <v>#REF!</v>
      </c>
      <c r="C5" s="293" t="e">
        <f>IF(AND($A5=1,#REF!=#REF!),1,0)</f>
        <v>#REF!</v>
      </c>
      <c r="D5" s="293" t="e">
        <f>IF(AND($A5=1,#REF!&lt;#REF!),1,0)</f>
        <v>#REF!</v>
      </c>
      <c r="E5" s="293" t="e">
        <f>IF(VLOOKUP(#REF!,$N$2:$U$19,8,FALSE)=VLOOKUP(#REF!,$N$2:$U$19,8,FALSE),1,0)</f>
        <v>#REF!</v>
      </c>
      <c r="F5" s="294" t="e">
        <f t="shared" si="0"/>
        <v>#REF!</v>
      </c>
      <c r="G5" s="294" t="e">
        <f>IF($E5=1,#REF!-#REF!,0)</f>
        <v>#REF!</v>
      </c>
      <c r="H5" s="294" t="e">
        <f>IF($E5=1,#REF!,0)</f>
        <v>#REF!</v>
      </c>
      <c r="I5" s="287"/>
      <c r="J5" s="287"/>
      <c r="K5" s="290" t="e">
        <f>(((($U5*100+$V5)*100+$W5)*100+$X5)*100+$S5)*100+ROW($K$1)-ROW()</f>
        <v>#REF!</v>
      </c>
      <c r="L5" s="402" t="e">
        <f>RANK(K5,$K$2:$K$5)</f>
        <v>#REF!</v>
      </c>
      <c r="M5" s="402"/>
      <c r="N5" s="291" t="e">
        <f>#REF!</f>
        <v>#REF!</v>
      </c>
      <c r="O5" s="290" t="e">
        <f>SUMIF(#REF!,$N5,$A$3:$A$374)+SUMIF(#REF!,$N5,$A$3:$A$374)</f>
        <v>#REF!</v>
      </c>
      <c r="P5" s="290" t="e">
        <f>SUMIF(#REF!,$N5,$B$3:$B$374)+SUMIF(#REF!,$N5,$D$3:$D$374)</f>
        <v>#REF!</v>
      </c>
      <c r="Q5" s="290" t="e">
        <f>SUMIF(#REF!,$N5,$C$3:$C$374)+SUMIF(#REF!,$N5,$C$3:$C$374)</f>
        <v>#REF!</v>
      </c>
      <c r="R5" s="290" t="e">
        <f>O5-P5-Q5</f>
        <v>#REF!</v>
      </c>
      <c r="S5" s="290" t="e">
        <f>SUMIF(#REF!,$N5,#REF!)+SUMIF(#REF!,$N5,#REF!)</f>
        <v>#REF!</v>
      </c>
      <c r="T5" s="290" t="e">
        <f>SUMIF(#REF!,$N5,#REF!)+SUMIF(#REF!,$N5,#REF!)</f>
        <v>#REF!</v>
      </c>
      <c r="U5" s="292" t="e">
        <f>P5*3+Q5</f>
        <v>#REF!</v>
      </c>
      <c r="V5" s="290" t="e">
        <f>SUMIF(#REF!,$N5,$F$3:$F$374)-SUMIF(#REF!,$N5,$F$3:$F$374)</f>
        <v>#REF!</v>
      </c>
      <c r="W5" s="290" t="e">
        <f>SUMIF(#REF!,$N5,$G$3:$G$374)-SUMIF(#REF!,$N5,$G$3:$G$374)</f>
        <v>#REF!</v>
      </c>
      <c r="X5" s="290" t="e">
        <f>S5-T5</f>
        <v>#REF!</v>
      </c>
    </row>
    <row r="6" spans="1:24" x14ac:dyDescent="0.2">
      <c r="A6" s="293">
        <f>IF(OR(ISBLANK(#REF!),ISBLANK(#REF!)),0,1)</f>
        <v>1</v>
      </c>
      <c r="B6" s="293" t="e">
        <f>IF(AND($A6=1,#REF!&gt;#REF!),1,0)</f>
        <v>#REF!</v>
      </c>
      <c r="C6" s="293" t="e">
        <f>IF(AND($A6=1,#REF!=#REF!),1,0)</f>
        <v>#REF!</v>
      </c>
      <c r="D6" s="293" t="e">
        <f>IF(AND($A6=1,#REF!&lt;#REF!),1,0)</f>
        <v>#REF!</v>
      </c>
      <c r="E6" s="293" t="e">
        <f>IF(VLOOKUP(#REF!,$N$2:$U$19,8,FALSE)=VLOOKUP(#REF!,$N$2:$U$19,8,FALSE),1,0)</f>
        <v>#REF!</v>
      </c>
      <c r="F6" s="294" t="e">
        <f t="shared" si="0"/>
        <v>#REF!</v>
      </c>
      <c r="G6" s="294" t="e">
        <f>IF($E6=1,#REF!-#REF!,0)</f>
        <v>#REF!</v>
      </c>
      <c r="H6" s="294" t="e">
        <f>IF($E6=1,#REF!,0)</f>
        <v>#REF!</v>
      </c>
      <c r="I6" s="287"/>
      <c r="J6" s="287"/>
      <c r="K6" s="290"/>
      <c r="L6" s="402"/>
      <c r="M6" s="402"/>
      <c r="N6" s="291"/>
      <c r="O6" s="290"/>
      <c r="P6" s="290"/>
      <c r="Q6" s="290"/>
      <c r="R6" s="290"/>
      <c r="S6" s="290"/>
      <c r="T6" s="290"/>
      <c r="U6" s="292"/>
      <c r="V6" s="290"/>
      <c r="W6" s="290"/>
      <c r="X6" s="290"/>
    </row>
    <row r="7" spans="1:24" x14ac:dyDescent="0.2">
      <c r="A7" s="293">
        <f>IF(OR(ISBLANK(#REF!),ISBLANK(#REF!)),0,1)</f>
        <v>1</v>
      </c>
      <c r="B7" s="293" t="e">
        <f>IF(AND($A7=1,#REF!&gt;#REF!),1,0)</f>
        <v>#REF!</v>
      </c>
      <c r="C7" s="293" t="e">
        <f>IF(AND($A7=1,#REF!=#REF!),1,0)</f>
        <v>#REF!</v>
      </c>
      <c r="D7" s="293" t="e">
        <f>IF(AND($A7=1,#REF!&lt;#REF!),1,0)</f>
        <v>#REF!</v>
      </c>
      <c r="E7" s="293" t="e">
        <f>IF(VLOOKUP(#REF!,$N$2:$U$19,8,FALSE)=VLOOKUP(#REF!,$N$2:$U$19,8,FALSE),1,0)</f>
        <v>#REF!</v>
      </c>
      <c r="F7" s="294" t="e">
        <f t="shared" si="0"/>
        <v>#REF!</v>
      </c>
      <c r="G7" s="294" t="e">
        <f>IF($E7=1,#REF!-#REF!,0)</f>
        <v>#REF!</v>
      </c>
      <c r="H7" s="294" t="e">
        <f>IF($E7=1,#REF!,0)</f>
        <v>#REF!</v>
      </c>
      <c r="I7" s="287"/>
      <c r="J7" s="287"/>
      <c r="K7" s="290"/>
      <c r="L7" s="402"/>
      <c r="M7" s="402"/>
      <c r="N7" s="291"/>
      <c r="O7" s="290"/>
      <c r="P7" s="290"/>
      <c r="Q7" s="290"/>
      <c r="R7" s="290"/>
      <c r="S7" s="290"/>
      <c r="T7" s="290"/>
      <c r="U7" s="292"/>
      <c r="V7" s="290"/>
      <c r="W7" s="290"/>
      <c r="X7" s="290"/>
    </row>
    <row r="8" spans="1:24" x14ac:dyDescent="0.2">
      <c r="A8" s="293">
        <f>IF(OR(ISBLANK(#REF!),ISBLANK(#REF!)),0,1)</f>
        <v>1</v>
      </c>
      <c r="B8" s="293" t="e">
        <f>IF(AND($A8=1,#REF!&gt;#REF!),1,0)</f>
        <v>#REF!</v>
      </c>
      <c r="C8" s="293" t="e">
        <f>IF(AND($A8=1,#REF!=#REF!),1,0)</f>
        <v>#REF!</v>
      </c>
      <c r="D8" s="293" t="e">
        <f>IF(AND($A8=1,#REF!&lt;#REF!),1,0)</f>
        <v>#REF!</v>
      </c>
      <c r="E8" s="293" t="e">
        <f>IF(VLOOKUP(#REF!,$N$2:$U$19,8,FALSE)=VLOOKUP(#REF!,$N$2:$U$19,8,FALSE),1,0)</f>
        <v>#REF!</v>
      </c>
      <c r="F8" s="294" t="e">
        <f t="shared" si="0"/>
        <v>#REF!</v>
      </c>
      <c r="G8" s="294" t="e">
        <f>IF($E8=1,#REF!-#REF!,0)</f>
        <v>#REF!</v>
      </c>
      <c r="H8" s="294" t="e">
        <f>IF($E8=1,#REF!,0)</f>
        <v>#REF!</v>
      </c>
      <c r="I8" s="287"/>
      <c r="J8" s="287"/>
      <c r="K8" s="290"/>
      <c r="L8" s="402"/>
      <c r="M8" s="402"/>
      <c r="N8" s="291"/>
      <c r="O8" s="290"/>
      <c r="P8" s="290"/>
      <c r="Q8" s="290"/>
      <c r="R8" s="290"/>
      <c r="S8" s="290"/>
      <c r="T8" s="290"/>
      <c r="U8" s="292"/>
      <c r="V8" s="290"/>
      <c r="W8" s="290"/>
      <c r="X8" s="290"/>
    </row>
    <row r="9" spans="1:24" x14ac:dyDescent="0.2">
      <c r="A9" s="293">
        <f>IF(OR(ISBLANK(#REF!),ISBLANK(#REF!)),0,1)</f>
        <v>1</v>
      </c>
      <c r="B9" s="293" t="e">
        <f>IF(AND($A9=1,#REF!&gt;#REF!),1,0)</f>
        <v>#REF!</v>
      </c>
      <c r="C9" s="293" t="e">
        <f>IF(AND($A9=1,#REF!=#REF!),1,0)</f>
        <v>#REF!</v>
      </c>
      <c r="D9" s="293" t="e">
        <f>IF(AND($A9=1,#REF!&lt;#REF!),1,0)</f>
        <v>#REF!</v>
      </c>
      <c r="E9" s="293" t="e">
        <f>IF(VLOOKUP(#REF!,$N$2:$U$19,8,FALSE)=VLOOKUP(#REF!,$N$2:$U$19,8,FALSE),1,0)</f>
        <v>#REF!</v>
      </c>
      <c r="F9" s="294" t="e">
        <f t="shared" si="0"/>
        <v>#REF!</v>
      </c>
      <c r="G9" s="294" t="e">
        <f>IF($E9=1,#REF!-#REF!,0)</f>
        <v>#REF!</v>
      </c>
      <c r="H9" s="294" t="e">
        <f>IF($E9=1,#REF!,0)</f>
        <v>#REF!</v>
      </c>
      <c r="I9" s="287"/>
      <c r="J9" s="287"/>
      <c r="K9" s="290"/>
      <c r="L9" s="402"/>
      <c r="M9" s="402"/>
      <c r="N9" s="291"/>
      <c r="O9" s="290"/>
      <c r="P9" s="290"/>
      <c r="Q9" s="290"/>
      <c r="R9" s="290"/>
      <c r="S9" s="290"/>
      <c r="T9" s="290"/>
      <c r="U9" s="292"/>
      <c r="V9" s="290"/>
      <c r="W9" s="290"/>
      <c r="X9" s="290"/>
    </row>
    <row r="10" spans="1:24" x14ac:dyDescent="0.2">
      <c r="A10" s="293">
        <f>IF(OR(ISBLANK(#REF!),ISBLANK(#REF!)),0,1)</f>
        <v>1</v>
      </c>
      <c r="B10" s="293" t="e">
        <f>IF(AND($A10=1,#REF!&gt;#REF!),1,0)</f>
        <v>#REF!</v>
      </c>
      <c r="C10" s="293" t="e">
        <f>IF(AND($A10=1,#REF!=#REF!),1,0)</f>
        <v>#REF!</v>
      </c>
      <c r="D10" s="293" t="e">
        <f>IF(AND($A10=1,#REF!&lt;#REF!),1,0)</f>
        <v>#REF!</v>
      </c>
      <c r="E10" s="293" t="e">
        <f>IF(VLOOKUP(#REF!,$N$2:$U$19,8,FALSE)=VLOOKUP(#REF!,$N$2:$U$19,8,FALSE),1,0)</f>
        <v>#REF!</v>
      </c>
      <c r="F10" s="294" t="e">
        <f t="shared" si="0"/>
        <v>#REF!</v>
      </c>
      <c r="G10" s="294" t="e">
        <f>IF($E10=1,#REF!-#REF!,0)</f>
        <v>#REF!</v>
      </c>
      <c r="H10" s="294" t="e">
        <f>IF($E10=1,#REF!,0)</f>
        <v>#REF!</v>
      </c>
      <c r="I10" s="287"/>
      <c r="J10" s="287"/>
      <c r="K10" s="290"/>
      <c r="L10" s="402"/>
      <c r="M10" s="402"/>
      <c r="N10" s="291"/>
      <c r="O10" s="290"/>
      <c r="P10" s="290"/>
      <c r="Q10" s="290"/>
      <c r="R10" s="290"/>
      <c r="S10" s="290"/>
      <c r="T10" s="290"/>
      <c r="U10" s="292"/>
      <c r="V10" s="290"/>
      <c r="W10" s="290"/>
      <c r="X10" s="290"/>
    </row>
    <row r="11" spans="1:24" x14ac:dyDescent="0.2">
      <c r="A11" s="293">
        <f>IF(OR(ISBLANK(#REF!),ISBLANK(#REF!)),0,1)</f>
        <v>1</v>
      </c>
      <c r="B11" s="293" t="e">
        <f>IF(AND($A11=1,#REF!&gt;#REF!),1,0)</f>
        <v>#REF!</v>
      </c>
      <c r="C11" s="293" t="e">
        <f>IF(AND($A11=1,#REF!=#REF!),1,0)</f>
        <v>#REF!</v>
      </c>
      <c r="D11" s="293" t="e">
        <f>IF(AND($A11=1,#REF!&lt;#REF!),1,0)</f>
        <v>#REF!</v>
      </c>
      <c r="E11" s="293" t="e">
        <f>IF(VLOOKUP(#REF!,$N$2:$U$19,8,FALSE)=VLOOKUP(#REF!,$N$2:$U$19,8,FALSE),1,0)</f>
        <v>#REF!</v>
      </c>
      <c r="F11" s="294" t="e">
        <f t="shared" si="0"/>
        <v>#REF!</v>
      </c>
      <c r="G11" s="294" t="e">
        <f>IF($E11=1,#REF!-#REF!,0)</f>
        <v>#REF!</v>
      </c>
      <c r="H11" s="294" t="e">
        <f>IF($E11=1,#REF!,0)</f>
        <v>#REF!</v>
      </c>
      <c r="I11" s="287"/>
      <c r="J11" s="287"/>
      <c r="K11" s="290"/>
      <c r="L11" s="402"/>
      <c r="M11" s="402"/>
      <c r="N11" s="291"/>
      <c r="O11" s="290"/>
      <c r="P11" s="290"/>
      <c r="Q11" s="290"/>
      <c r="R11" s="290"/>
      <c r="S11" s="290"/>
      <c r="T11" s="290"/>
      <c r="U11" s="292"/>
      <c r="V11" s="290"/>
      <c r="W11" s="290"/>
      <c r="X11" s="290"/>
    </row>
    <row r="12" spans="1:24" x14ac:dyDescent="0.2">
      <c r="A12" s="293"/>
      <c r="B12" s="293"/>
      <c r="C12" s="293"/>
      <c r="D12" s="293"/>
      <c r="E12" s="293"/>
      <c r="F12" s="294"/>
      <c r="G12" s="294"/>
      <c r="H12" s="294"/>
      <c r="I12" s="287"/>
      <c r="J12" s="287"/>
      <c r="K12" s="290"/>
      <c r="L12" s="402"/>
      <c r="M12" s="402"/>
      <c r="N12" s="291"/>
      <c r="O12" s="290"/>
      <c r="P12" s="290"/>
      <c r="Q12" s="290"/>
      <c r="R12" s="290"/>
      <c r="S12" s="290"/>
      <c r="T12" s="290"/>
      <c r="U12" s="292"/>
      <c r="V12" s="290"/>
      <c r="W12" s="290"/>
      <c r="X12" s="290"/>
    </row>
    <row r="13" spans="1:24" x14ac:dyDescent="0.2">
      <c r="A13" s="293"/>
      <c r="B13" s="293"/>
      <c r="C13" s="293"/>
      <c r="D13" s="293"/>
      <c r="E13" s="293"/>
      <c r="F13" s="294"/>
      <c r="G13" s="294"/>
      <c r="H13" s="294"/>
      <c r="I13" s="287"/>
      <c r="J13" s="287"/>
      <c r="K13" s="290"/>
      <c r="L13" s="402"/>
      <c r="M13" s="402"/>
      <c r="N13" s="291"/>
      <c r="O13" s="290"/>
      <c r="P13" s="290"/>
      <c r="Q13" s="290"/>
      <c r="R13" s="290"/>
      <c r="S13" s="290"/>
      <c r="T13" s="290"/>
      <c r="U13" s="292"/>
      <c r="V13" s="290"/>
      <c r="W13" s="290"/>
      <c r="X13" s="290"/>
    </row>
    <row r="14" spans="1:24" x14ac:dyDescent="0.2">
      <c r="A14" s="293">
        <f>IF(OR(ISBLANK(#REF!),ISBLANK(#REF!)),0,1)</f>
        <v>1</v>
      </c>
      <c r="B14" s="293" t="e">
        <f>IF(AND($A14=1,#REF!&gt;#REF!),1,0)</f>
        <v>#REF!</v>
      </c>
      <c r="C14" s="293" t="e">
        <f>IF(AND($A14=1,#REF!=#REF!),1,0)</f>
        <v>#REF!</v>
      </c>
      <c r="D14" s="293" t="e">
        <f>IF(AND($A14=1,#REF!&lt;#REF!),1,0)</f>
        <v>#REF!</v>
      </c>
      <c r="E14" s="293" t="e">
        <f>IF(VLOOKUP(#REF!,$N$2:$U$19,8,FALSE)=VLOOKUP(#REF!,$N$2:$U$19,8,FALSE),1,0)</f>
        <v>#REF!</v>
      </c>
      <c r="F14" s="294" t="e">
        <f t="shared" ref="F14:F22" si="1">IF($E14=1,2*$B14-2*$D14,0)</f>
        <v>#REF!</v>
      </c>
      <c r="G14" s="294" t="e">
        <f>IF($E14=1,#REF!-#REF!,0)</f>
        <v>#REF!</v>
      </c>
      <c r="H14" s="294" t="e">
        <f>IF($E14=1,#REF!,0)</f>
        <v>#REF!</v>
      </c>
      <c r="I14" s="287"/>
      <c r="J14" s="287"/>
      <c r="K14" s="290"/>
      <c r="L14" s="402"/>
      <c r="M14" s="402"/>
      <c r="N14" s="291"/>
      <c r="O14" s="290"/>
      <c r="P14" s="290"/>
      <c r="Q14" s="290"/>
      <c r="R14" s="290"/>
      <c r="S14" s="290"/>
      <c r="T14" s="290"/>
      <c r="U14" s="292"/>
      <c r="V14" s="290"/>
      <c r="W14" s="290"/>
      <c r="X14" s="290"/>
    </row>
    <row r="15" spans="1:24" x14ac:dyDescent="0.2">
      <c r="A15" s="293">
        <f>IF(OR(ISBLANK(#REF!),ISBLANK(#REF!)),0,1)</f>
        <v>1</v>
      </c>
      <c r="B15" s="293" t="e">
        <f>IF(AND($A15=1,#REF!&gt;#REF!),1,0)</f>
        <v>#REF!</v>
      </c>
      <c r="C15" s="293" t="e">
        <f>IF(AND($A15=1,#REF!=#REF!),1,0)</f>
        <v>#REF!</v>
      </c>
      <c r="D15" s="293" t="e">
        <f>IF(AND($A15=1,#REF!&lt;#REF!),1,0)</f>
        <v>#REF!</v>
      </c>
      <c r="E15" s="293" t="e">
        <f>IF(VLOOKUP(#REF!,$N$2:$U$19,8,FALSE)=VLOOKUP(#REF!,$N$2:$U$19,8,FALSE),1,0)</f>
        <v>#REF!</v>
      </c>
      <c r="F15" s="294" t="e">
        <f t="shared" si="1"/>
        <v>#REF!</v>
      </c>
      <c r="G15" s="294" t="e">
        <f>IF($E15=1,#REF!-#REF!,0)</f>
        <v>#REF!</v>
      </c>
      <c r="H15" s="294" t="e">
        <f>IF($E15=1,#REF!,0)</f>
        <v>#REF!</v>
      </c>
      <c r="I15" s="287"/>
      <c r="J15" s="287"/>
      <c r="K15" s="290"/>
      <c r="L15" s="402"/>
      <c r="M15" s="402"/>
      <c r="N15" s="291"/>
      <c r="O15" s="290"/>
      <c r="P15" s="290"/>
      <c r="Q15" s="290"/>
      <c r="R15" s="290"/>
      <c r="S15" s="290"/>
      <c r="T15" s="290"/>
      <c r="U15" s="292"/>
      <c r="V15" s="290"/>
      <c r="W15" s="290"/>
      <c r="X15" s="290"/>
    </row>
    <row r="16" spans="1:24" x14ac:dyDescent="0.2">
      <c r="A16" s="293">
        <f>IF(OR(ISBLANK(#REF!),ISBLANK(#REF!)),0,1)</f>
        <v>1</v>
      </c>
      <c r="B16" s="293" t="e">
        <f>IF(AND($A16=1,#REF!&gt;#REF!),1,0)</f>
        <v>#REF!</v>
      </c>
      <c r="C16" s="293" t="e">
        <f>IF(AND($A16=1,#REF!=#REF!),1,0)</f>
        <v>#REF!</v>
      </c>
      <c r="D16" s="293" t="e">
        <f>IF(AND($A16=1,#REF!&lt;#REF!),1,0)</f>
        <v>#REF!</v>
      </c>
      <c r="E16" s="293" t="e">
        <f>IF(VLOOKUP(#REF!,$N$2:$U$19,8,FALSE)=VLOOKUP(#REF!,$N$2:$U$19,8,FALSE),1,0)</f>
        <v>#REF!</v>
      </c>
      <c r="F16" s="294" t="e">
        <f t="shared" si="1"/>
        <v>#REF!</v>
      </c>
      <c r="G16" s="294" t="e">
        <f>IF($E16=1,#REF!-#REF!,0)</f>
        <v>#REF!</v>
      </c>
      <c r="H16" s="294" t="e">
        <f>IF($E16=1,#REF!,0)</f>
        <v>#REF!</v>
      </c>
      <c r="I16" s="287"/>
      <c r="J16" s="287"/>
      <c r="K16" s="290"/>
      <c r="L16" s="402"/>
      <c r="M16" s="402"/>
      <c r="N16" s="291"/>
      <c r="O16" s="290"/>
      <c r="P16" s="290"/>
      <c r="Q16" s="290"/>
      <c r="R16" s="290"/>
      <c r="S16" s="290"/>
      <c r="T16" s="290"/>
      <c r="U16" s="292"/>
      <c r="V16" s="290"/>
      <c r="W16" s="290"/>
      <c r="X16" s="290"/>
    </row>
    <row r="17" spans="1:24" x14ac:dyDescent="0.2">
      <c r="A17" s="293">
        <f>IF(OR(ISBLANK(#REF!),ISBLANK(#REF!)),0,1)</f>
        <v>1</v>
      </c>
      <c r="B17" s="293" t="e">
        <f>IF(AND($A17=1,#REF!&gt;#REF!),1,0)</f>
        <v>#REF!</v>
      </c>
      <c r="C17" s="293" t="e">
        <f>IF(AND($A17=1,#REF!=#REF!),1,0)</f>
        <v>#REF!</v>
      </c>
      <c r="D17" s="293" t="e">
        <f>IF(AND($A17=1,#REF!&lt;#REF!),1,0)</f>
        <v>#REF!</v>
      </c>
      <c r="E17" s="293" t="e">
        <f>IF(VLOOKUP(#REF!,$N$2:$U$19,8,FALSE)=VLOOKUP(#REF!,$N$2:$U$19,8,FALSE),1,0)</f>
        <v>#REF!</v>
      </c>
      <c r="F17" s="294" t="e">
        <f t="shared" si="1"/>
        <v>#REF!</v>
      </c>
      <c r="G17" s="294" t="e">
        <f>IF($E17=1,#REF!-#REF!,0)</f>
        <v>#REF!</v>
      </c>
      <c r="H17" s="294" t="e">
        <f>IF($E17=1,#REF!,0)</f>
        <v>#REF!</v>
      </c>
      <c r="I17" s="287"/>
      <c r="J17" s="287"/>
      <c r="K17" s="290"/>
      <c r="L17" s="402"/>
      <c r="M17" s="402"/>
      <c r="N17" s="291"/>
      <c r="O17" s="290"/>
      <c r="P17" s="290"/>
      <c r="Q17" s="290"/>
      <c r="R17" s="290"/>
      <c r="S17" s="290"/>
      <c r="T17" s="290"/>
      <c r="U17" s="292"/>
      <c r="V17" s="290"/>
      <c r="W17" s="290"/>
      <c r="X17" s="290"/>
    </row>
    <row r="18" spans="1:24" x14ac:dyDescent="0.2">
      <c r="A18" s="293">
        <f>IF(OR(ISBLANK(#REF!),ISBLANK(#REF!)),0,1)</f>
        <v>1</v>
      </c>
      <c r="B18" s="293" t="e">
        <f>IF(AND($A18=1,#REF!&gt;#REF!),1,0)</f>
        <v>#REF!</v>
      </c>
      <c r="C18" s="293" t="e">
        <f>IF(AND($A18=1,#REF!=#REF!),1,0)</f>
        <v>#REF!</v>
      </c>
      <c r="D18" s="293" t="e">
        <f>IF(AND($A18=1,#REF!&lt;#REF!),1,0)</f>
        <v>#REF!</v>
      </c>
      <c r="E18" s="293" t="e">
        <f>IF(VLOOKUP(#REF!,$N$2:$U$19,8,FALSE)=VLOOKUP(#REF!,$N$2:$U$19,8,FALSE),1,0)</f>
        <v>#REF!</v>
      </c>
      <c r="F18" s="294" t="e">
        <f t="shared" si="1"/>
        <v>#REF!</v>
      </c>
      <c r="G18" s="294" t="e">
        <f>IF($E18=1,#REF!-#REF!,0)</f>
        <v>#REF!</v>
      </c>
      <c r="H18" s="294" t="e">
        <f>IF($E18=1,#REF!,0)</f>
        <v>#REF!</v>
      </c>
      <c r="I18" s="287"/>
      <c r="J18" s="287"/>
      <c r="K18" s="290"/>
      <c r="L18" s="402"/>
      <c r="M18" s="402"/>
      <c r="N18" s="291"/>
      <c r="O18" s="290"/>
      <c r="P18" s="290"/>
      <c r="Q18" s="290"/>
      <c r="R18" s="290"/>
      <c r="S18" s="290"/>
      <c r="T18" s="290"/>
      <c r="U18" s="292"/>
      <c r="V18" s="290"/>
      <c r="W18" s="290"/>
      <c r="X18" s="290"/>
    </row>
    <row r="19" spans="1:24" x14ac:dyDescent="0.2">
      <c r="A19" s="293">
        <f>IF(OR(ISBLANK(#REF!),ISBLANK(#REF!)),0,1)</f>
        <v>1</v>
      </c>
      <c r="B19" s="293" t="e">
        <f>IF(AND($A19=1,#REF!&gt;#REF!),1,0)</f>
        <v>#REF!</v>
      </c>
      <c r="C19" s="293" t="e">
        <f>IF(AND($A19=1,#REF!=#REF!),1,0)</f>
        <v>#REF!</v>
      </c>
      <c r="D19" s="293" t="e">
        <f>IF(AND($A19=1,#REF!&lt;#REF!),1,0)</f>
        <v>#REF!</v>
      </c>
      <c r="E19" s="293" t="e">
        <f>IF(VLOOKUP(#REF!,$N$2:$U$19,8,FALSE)=VLOOKUP(#REF!,$N$2:$U$19,8,FALSE),1,0)</f>
        <v>#REF!</v>
      </c>
      <c r="F19" s="294" t="e">
        <f t="shared" si="1"/>
        <v>#REF!</v>
      </c>
      <c r="G19" s="294" t="e">
        <f>IF($E19=1,#REF!-#REF!,0)</f>
        <v>#REF!</v>
      </c>
      <c r="H19" s="294" t="e">
        <f>IF($E19=1,#REF!,0)</f>
        <v>#REF!</v>
      </c>
      <c r="I19" s="287"/>
      <c r="J19" s="287"/>
      <c r="K19" s="290"/>
      <c r="L19" s="402"/>
      <c r="M19" s="402"/>
      <c r="N19" s="291"/>
      <c r="O19" s="290"/>
      <c r="P19" s="290"/>
      <c r="Q19" s="290"/>
      <c r="R19" s="290"/>
      <c r="S19" s="290"/>
      <c r="T19" s="290"/>
      <c r="U19" s="292"/>
      <c r="V19" s="290"/>
      <c r="W19" s="290"/>
      <c r="X19" s="290"/>
    </row>
    <row r="20" spans="1:24" x14ac:dyDescent="0.2">
      <c r="A20" s="293">
        <f>IF(OR(ISBLANK(#REF!),ISBLANK(#REF!)),0,1)</f>
        <v>1</v>
      </c>
      <c r="B20" s="293" t="e">
        <f>IF(AND($A20=1,#REF!&gt;#REF!),1,0)</f>
        <v>#REF!</v>
      </c>
      <c r="C20" s="293" t="e">
        <f>IF(AND($A20=1,#REF!=#REF!),1,0)</f>
        <v>#REF!</v>
      </c>
      <c r="D20" s="293" t="e">
        <f>IF(AND($A20=1,#REF!&lt;#REF!),1,0)</f>
        <v>#REF!</v>
      </c>
      <c r="E20" s="293" t="e">
        <f>IF(VLOOKUP(#REF!,$N$2:$U$19,8,FALSE)=VLOOKUP(#REF!,$N$2:$U$19,8,FALSE),1,0)</f>
        <v>#REF!</v>
      </c>
      <c r="F20" s="294" t="e">
        <f t="shared" si="1"/>
        <v>#REF!</v>
      </c>
      <c r="G20" s="294" t="e">
        <f>IF($E20=1,#REF!-#REF!,0)</f>
        <v>#REF!</v>
      </c>
      <c r="H20" s="294" t="e">
        <f>IF($E20=1,#REF!,0)</f>
        <v>#REF!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x14ac:dyDescent="0.2">
      <c r="A21" s="293">
        <f>IF(OR(ISBLANK(#REF!),ISBLANK(#REF!)),0,1)</f>
        <v>1</v>
      </c>
      <c r="B21" s="293" t="e">
        <f>IF(AND($A21=1,#REF!&gt;#REF!),1,0)</f>
        <v>#REF!</v>
      </c>
      <c r="C21" s="293" t="e">
        <f>IF(AND($A21=1,#REF!=#REF!),1,0)</f>
        <v>#REF!</v>
      </c>
      <c r="D21" s="293" t="e">
        <f>IF(AND($A21=1,#REF!&lt;#REF!),1,0)</f>
        <v>#REF!</v>
      </c>
      <c r="E21" s="293" t="e">
        <f>IF(VLOOKUP(#REF!,$N$2:$U$19,8,FALSE)=VLOOKUP(#REF!,$N$2:$U$19,8,FALSE),1,0)</f>
        <v>#REF!</v>
      </c>
      <c r="F21" s="294" t="e">
        <f t="shared" si="1"/>
        <v>#REF!</v>
      </c>
      <c r="G21" s="294" t="e">
        <f>IF($E21=1,#REF!-#REF!,0)</f>
        <v>#REF!</v>
      </c>
      <c r="H21" s="294" t="e">
        <f>IF($E21=1,#REF!,0)</f>
        <v>#REF!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x14ac:dyDescent="0.2">
      <c r="A22" s="293">
        <f>IF(OR(ISBLANK(#REF!),ISBLANK(#REF!)),0,1)</f>
        <v>1</v>
      </c>
      <c r="B22" s="293" t="e">
        <f>IF(AND($A22=1,#REF!&gt;#REF!),1,0)</f>
        <v>#REF!</v>
      </c>
      <c r="C22" s="293" t="e">
        <f>IF(AND($A22=1,#REF!=#REF!),1,0)</f>
        <v>#REF!</v>
      </c>
      <c r="D22" s="293" t="e">
        <f>IF(AND($A22=1,#REF!&lt;#REF!),1,0)</f>
        <v>#REF!</v>
      </c>
      <c r="E22" s="293" t="e">
        <f>IF(VLOOKUP(#REF!,$N$2:$U$19,8,FALSE)=VLOOKUP(#REF!,$N$2:$U$19,8,FALSE),1,0)</f>
        <v>#REF!</v>
      </c>
      <c r="F22" s="294" t="e">
        <f t="shared" si="1"/>
        <v>#REF!</v>
      </c>
      <c r="G22" s="294" t="e">
        <f>IF($E22=1,#REF!-#REF!,0)</f>
        <v>#REF!</v>
      </c>
      <c r="H22" s="294" t="e">
        <f>IF($E22=1,#REF!,0)</f>
        <v>#REF!</v>
      </c>
      <c r="I22" s="287"/>
      <c r="J22" s="287"/>
      <c r="K22" s="287"/>
      <c r="L22" s="287"/>
      <c r="M22" s="287"/>
      <c r="N22" s="295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x14ac:dyDescent="0.2">
      <c r="A23" s="293"/>
      <c r="B23" s="293"/>
      <c r="C23" s="293"/>
      <c r="D23" s="293"/>
      <c r="E23" s="293"/>
      <c r="F23" s="294"/>
      <c r="G23" s="294"/>
      <c r="H23" s="294"/>
      <c r="I23" s="287"/>
      <c r="J23" s="287"/>
      <c r="K23" s="287"/>
      <c r="L23" s="287"/>
      <c r="M23" s="287"/>
      <c r="N23" s="296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x14ac:dyDescent="0.2">
      <c r="A24" s="293"/>
      <c r="B24" s="293"/>
      <c r="C24" s="293"/>
      <c r="D24" s="293"/>
      <c r="E24" s="293"/>
      <c r="F24" s="294"/>
      <c r="G24" s="294"/>
      <c r="H24" s="294"/>
      <c r="I24" s="287"/>
      <c r="J24" s="287"/>
      <c r="K24" s="287"/>
      <c r="L24" s="287"/>
      <c r="M24" s="287"/>
      <c r="N24" s="296"/>
      <c r="O24" s="287"/>
      <c r="P24" s="287"/>
      <c r="Q24" s="287"/>
      <c r="R24" s="287"/>
      <c r="S24" s="287"/>
      <c r="T24" s="287"/>
      <c r="U24" s="287"/>
      <c r="V24" s="287"/>
      <c r="W24" s="297"/>
      <c r="X24" s="287"/>
    </row>
    <row r="25" spans="1:24" x14ac:dyDescent="0.2">
      <c r="A25" s="293">
        <f>IF(OR(ISBLANK(#REF!),ISBLANK(#REF!)),0,1)</f>
        <v>1</v>
      </c>
      <c r="B25" s="293" t="e">
        <f>IF(AND($A25=1,#REF!&gt;#REF!),1,0)</f>
        <v>#REF!</v>
      </c>
      <c r="C25" s="293" t="e">
        <f>IF(AND($A25=1,#REF!=#REF!),1,0)</f>
        <v>#REF!</v>
      </c>
      <c r="D25" s="293" t="e">
        <f>IF(AND($A25=1,#REF!&lt;#REF!),1,0)</f>
        <v>#REF!</v>
      </c>
      <c r="E25" s="293" t="e">
        <f>IF(VLOOKUP(#REF!,$N$2:$U$19,8,FALSE)=VLOOKUP(#REF!,$N$2:$U$19,8,FALSE),1,0)</f>
        <v>#REF!</v>
      </c>
      <c r="F25" s="294" t="e">
        <f t="shared" ref="F25:F33" si="2">IF($E25=1,2*$B25-2*$D25,0)</f>
        <v>#REF!</v>
      </c>
      <c r="G25" s="294" t="e">
        <f>IF($E25=1,#REF!-#REF!,0)</f>
        <v>#REF!</v>
      </c>
      <c r="H25" s="294" t="e">
        <f>IF($E25=1,#REF!,0)</f>
        <v>#REF!</v>
      </c>
      <c r="I25" s="287"/>
      <c r="J25" s="287"/>
      <c r="L25" s="298"/>
      <c r="M25" s="298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x14ac:dyDescent="0.2">
      <c r="A26" s="293">
        <f>IF(OR(ISBLANK(#REF!),ISBLANK(#REF!)),0,1)</f>
        <v>1</v>
      </c>
      <c r="B26" s="293" t="e">
        <f>IF(AND($A26=1,#REF!&gt;#REF!),1,0)</f>
        <v>#REF!</v>
      </c>
      <c r="C26" s="293" t="e">
        <f>IF(AND($A26=1,#REF!=#REF!),1,0)</f>
        <v>#REF!</v>
      </c>
      <c r="D26" s="293" t="e">
        <f>IF(AND($A26=1,#REF!&lt;#REF!),1,0)</f>
        <v>#REF!</v>
      </c>
      <c r="E26" s="293" t="e">
        <f>IF(VLOOKUP(#REF!,$N$2:$U$19,8,FALSE)=VLOOKUP(#REF!,$N$2:$U$19,8,FALSE),1,0)</f>
        <v>#REF!</v>
      </c>
      <c r="F26" s="294" t="e">
        <f t="shared" si="2"/>
        <v>#REF!</v>
      </c>
      <c r="G26" s="294" t="e">
        <f>IF($E26=1,#REF!-#REF!,0)</f>
        <v>#REF!</v>
      </c>
      <c r="H26" s="294" t="e">
        <f>IF($E26=1,#REF!,0)</f>
        <v>#REF!</v>
      </c>
      <c r="I26" s="287"/>
      <c r="J26" s="287"/>
      <c r="K26" s="298"/>
      <c r="L26" s="298"/>
      <c r="M26" s="298"/>
      <c r="N26" s="299"/>
      <c r="O26" s="287"/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x14ac:dyDescent="0.2">
      <c r="A27" s="293">
        <f>IF(OR(ISBLANK(#REF!),ISBLANK(#REF!)),0,1)</f>
        <v>1</v>
      </c>
      <c r="B27" s="293" t="e">
        <f>IF(AND($A27=1,#REF!&gt;#REF!),1,0)</f>
        <v>#REF!</v>
      </c>
      <c r="C27" s="293" t="e">
        <f>IF(AND($A27=1,#REF!=#REF!),1,0)</f>
        <v>#REF!</v>
      </c>
      <c r="D27" s="293" t="e">
        <f>IF(AND($A27=1,#REF!&lt;#REF!),1,0)</f>
        <v>#REF!</v>
      </c>
      <c r="E27" s="293" t="e">
        <f>IF(VLOOKUP(#REF!,$N$2:$U$19,8,FALSE)=VLOOKUP(#REF!,$N$2:$U$19,8,FALSE),1,0)</f>
        <v>#REF!</v>
      </c>
      <c r="F27" s="294" t="e">
        <f t="shared" si="2"/>
        <v>#REF!</v>
      </c>
      <c r="G27" s="294" t="e">
        <f>IF($E27=1,#REF!-#REF!,0)</f>
        <v>#REF!</v>
      </c>
      <c r="H27" s="294" t="e">
        <f>IF($E27=1,#REF!,0)</f>
        <v>#REF!</v>
      </c>
      <c r="I27" s="287"/>
      <c r="J27" s="287"/>
      <c r="K27" s="298"/>
      <c r="L27" s="298"/>
      <c r="M27" s="298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x14ac:dyDescent="0.2">
      <c r="A28" s="293">
        <f>IF(OR(ISBLANK(#REF!),ISBLANK(#REF!)),0,1)</f>
        <v>1</v>
      </c>
      <c r="B28" s="293" t="e">
        <f>IF(AND($A28=1,#REF!&gt;#REF!),1,0)</f>
        <v>#REF!</v>
      </c>
      <c r="C28" s="293" t="e">
        <f>IF(AND($A28=1,#REF!=#REF!),1,0)</f>
        <v>#REF!</v>
      </c>
      <c r="D28" s="293" t="e">
        <f>IF(AND($A28=1,#REF!&lt;#REF!),1,0)</f>
        <v>#REF!</v>
      </c>
      <c r="E28" s="293" t="e">
        <f>IF(VLOOKUP(#REF!,$N$2:$U$19,8,FALSE)=VLOOKUP(#REF!,$N$2:$U$19,8,FALSE),1,0)</f>
        <v>#REF!</v>
      </c>
      <c r="F28" s="294" t="e">
        <f t="shared" si="2"/>
        <v>#REF!</v>
      </c>
      <c r="G28" s="294" t="e">
        <f>IF($E28=1,#REF!-#REF!,0)</f>
        <v>#REF!</v>
      </c>
      <c r="H28" s="294" t="e">
        <f>IF($E28=1,#REF!,0)</f>
        <v>#REF!</v>
      </c>
      <c r="I28" s="287"/>
      <c r="J28" s="287"/>
      <c r="K28" s="298"/>
      <c r="L28" s="298"/>
      <c r="M28" s="298"/>
      <c r="O28" s="287"/>
      <c r="P28" s="287"/>
      <c r="Q28" s="287"/>
      <c r="R28" s="287"/>
      <c r="S28" s="287"/>
      <c r="T28" s="287"/>
      <c r="U28" s="287"/>
      <c r="V28" s="287"/>
      <c r="W28" s="297"/>
      <c r="X28" s="287"/>
    </row>
    <row r="29" spans="1:24" x14ac:dyDescent="0.2">
      <c r="A29" s="293">
        <f>IF(OR(ISBLANK(#REF!),ISBLANK(#REF!)),0,1)</f>
        <v>1</v>
      </c>
      <c r="B29" s="293" t="e">
        <f>IF(AND($A29=1,#REF!&gt;#REF!),1,0)</f>
        <v>#REF!</v>
      </c>
      <c r="C29" s="293" t="e">
        <f>IF(AND($A29=1,#REF!=#REF!),1,0)</f>
        <v>#REF!</v>
      </c>
      <c r="D29" s="293" t="e">
        <f>IF(AND($A29=1,#REF!&lt;#REF!),1,0)</f>
        <v>#REF!</v>
      </c>
      <c r="E29" s="293" t="e">
        <f>IF(VLOOKUP(#REF!,$N$2:$U$19,8,FALSE)=VLOOKUP(#REF!,$N$2:$U$19,8,FALSE),1,0)</f>
        <v>#REF!</v>
      </c>
      <c r="F29" s="294" t="e">
        <f t="shared" si="2"/>
        <v>#REF!</v>
      </c>
      <c r="G29" s="294" t="e">
        <f>IF($E29=1,#REF!-#REF!,0)</f>
        <v>#REF!</v>
      </c>
      <c r="H29" s="294" t="e">
        <f>IF($E29=1,#REF!,0)</f>
        <v>#REF!</v>
      </c>
      <c r="I29" s="287"/>
      <c r="J29" s="287"/>
      <c r="K29" s="298"/>
      <c r="L29" s="298"/>
      <c r="M29" s="298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x14ac:dyDescent="0.2">
      <c r="A30" s="293">
        <f>IF(OR(ISBLANK(#REF!),ISBLANK(#REF!)),0,1)</f>
        <v>1</v>
      </c>
      <c r="B30" s="293" t="e">
        <f>IF(AND($A30=1,#REF!&gt;#REF!),1,0)</f>
        <v>#REF!</v>
      </c>
      <c r="C30" s="293" t="e">
        <f>IF(AND($A30=1,#REF!=#REF!),1,0)</f>
        <v>#REF!</v>
      </c>
      <c r="D30" s="293" t="e">
        <f>IF(AND($A30=1,#REF!&lt;#REF!),1,0)</f>
        <v>#REF!</v>
      </c>
      <c r="E30" s="293" t="e">
        <f>IF(VLOOKUP(#REF!,$N$2:$U$19,8,FALSE)=VLOOKUP(#REF!,$N$2:$U$19,8,FALSE),1,0)</f>
        <v>#REF!</v>
      </c>
      <c r="F30" s="294" t="e">
        <f t="shared" si="2"/>
        <v>#REF!</v>
      </c>
      <c r="G30" s="294" t="e">
        <f>IF($E30=1,#REF!-#REF!,0)</f>
        <v>#REF!</v>
      </c>
      <c r="H30" s="294" t="e">
        <f>IF($E30=1,#REF!,0)</f>
        <v>#REF!</v>
      </c>
      <c r="I30" s="287"/>
      <c r="J30" s="287"/>
      <c r="K30" s="298"/>
      <c r="L30" s="298"/>
      <c r="M30" s="298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x14ac:dyDescent="0.2">
      <c r="A31" s="293">
        <f>IF(OR(ISBLANK(#REF!),ISBLANK(#REF!)),0,1)</f>
        <v>1</v>
      </c>
      <c r="B31" s="293" t="e">
        <f>IF(AND($A31=1,#REF!&gt;#REF!),1,0)</f>
        <v>#REF!</v>
      </c>
      <c r="C31" s="293" t="e">
        <f>IF(AND($A31=1,#REF!=#REF!),1,0)</f>
        <v>#REF!</v>
      </c>
      <c r="D31" s="293" t="e">
        <f>IF(AND($A31=1,#REF!&lt;#REF!),1,0)</f>
        <v>#REF!</v>
      </c>
      <c r="E31" s="293" t="e">
        <f>IF(VLOOKUP(#REF!,$N$2:$U$19,8,FALSE)=VLOOKUP(#REF!,$N$2:$U$19,8,FALSE),1,0)</f>
        <v>#REF!</v>
      </c>
      <c r="F31" s="294" t="e">
        <f t="shared" si="2"/>
        <v>#REF!</v>
      </c>
      <c r="G31" s="294" t="e">
        <f>IF($E31=1,#REF!-#REF!,0)</f>
        <v>#REF!</v>
      </c>
      <c r="H31" s="294" t="e">
        <f>IF($E31=1,#REF!,0)</f>
        <v>#REF!</v>
      </c>
      <c r="I31" s="287"/>
      <c r="J31" s="287"/>
      <c r="K31" s="298"/>
      <c r="L31" s="298"/>
      <c r="M31" s="298"/>
      <c r="N31" s="299"/>
      <c r="O31" s="287"/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x14ac:dyDescent="0.2">
      <c r="A32" s="293">
        <f>IF(OR(ISBLANK(#REF!),ISBLANK(#REF!)),0,1)</f>
        <v>1</v>
      </c>
      <c r="B32" s="293" t="e">
        <f>IF(AND($A32=1,#REF!&gt;#REF!),1,0)</f>
        <v>#REF!</v>
      </c>
      <c r="C32" s="293" t="e">
        <f>IF(AND($A32=1,#REF!=#REF!),1,0)</f>
        <v>#REF!</v>
      </c>
      <c r="D32" s="293" t="e">
        <f>IF(AND($A32=1,#REF!&lt;#REF!),1,0)</f>
        <v>#REF!</v>
      </c>
      <c r="E32" s="293" t="e">
        <f>IF(VLOOKUP(#REF!,$N$2:$U$19,8,FALSE)=VLOOKUP(#REF!,$N$2:$U$19,8,FALSE),1,0)</f>
        <v>#REF!</v>
      </c>
      <c r="F32" s="294" t="e">
        <f t="shared" si="2"/>
        <v>#REF!</v>
      </c>
      <c r="G32" s="294" t="e">
        <f>IF($E32=1,#REF!-#REF!,0)</f>
        <v>#REF!</v>
      </c>
      <c r="H32" s="294" t="e">
        <f>IF($E32=1,#REF!,0)</f>
        <v>#REF!</v>
      </c>
      <c r="I32" s="287"/>
      <c r="J32" s="287"/>
      <c r="K32" s="299"/>
      <c r="L32" s="298"/>
      <c r="M32" s="298"/>
      <c r="N32" s="299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4" x14ac:dyDescent="0.2">
      <c r="A33" s="293">
        <f>IF(OR(ISBLANK(#REF!),ISBLANK(#REF!)),0,1)</f>
        <v>1</v>
      </c>
      <c r="B33" s="293" t="e">
        <f>IF(AND($A33=1,#REF!&gt;#REF!),1,0)</f>
        <v>#REF!</v>
      </c>
      <c r="C33" s="293" t="e">
        <f>IF(AND($A33=1,#REF!=#REF!),1,0)</f>
        <v>#REF!</v>
      </c>
      <c r="D33" s="293" t="e">
        <f>IF(AND($A33=1,#REF!&lt;#REF!),1,0)</f>
        <v>#REF!</v>
      </c>
      <c r="E33" s="293" t="e">
        <f>IF(VLOOKUP(#REF!,$N$2:$U$19,8,FALSE)=VLOOKUP(#REF!,$N$2:$U$19,8,FALSE),1,0)</f>
        <v>#REF!</v>
      </c>
      <c r="F33" s="294" t="e">
        <f t="shared" si="2"/>
        <v>#REF!</v>
      </c>
      <c r="G33" s="294" t="e">
        <f>IF($E33=1,#REF!-#REF!,0)</f>
        <v>#REF!</v>
      </c>
      <c r="H33" s="294" t="e">
        <f>IF($E33=1,#REF!,0)</f>
        <v>#REF!</v>
      </c>
      <c r="I33" s="287"/>
      <c r="J33" s="287"/>
      <c r="K33" s="298"/>
      <c r="L33" s="298"/>
      <c r="M33" s="298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x14ac:dyDescent="0.2">
      <c r="A34" s="293"/>
      <c r="B34" s="293"/>
      <c r="C34" s="293"/>
      <c r="D34" s="293"/>
      <c r="E34" s="293"/>
      <c r="F34" s="294"/>
      <c r="G34" s="294"/>
      <c r="H34" s="294"/>
      <c r="I34" s="287"/>
      <c r="J34" s="287"/>
      <c r="K34" s="299"/>
      <c r="L34" s="287"/>
      <c r="M34" s="287"/>
      <c r="N34" s="295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1:24" x14ac:dyDescent="0.2">
      <c r="A35" s="293"/>
      <c r="B35" s="293"/>
      <c r="C35" s="293"/>
      <c r="D35" s="293"/>
      <c r="E35" s="293"/>
      <c r="F35" s="294"/>
      <c r="G35" s="294"/>
      <c r="H35" s="294"/>
      <c r="I35" s="287"/>
      <c r="J35" s="287"/>
      <c r="K35" s="299"/>
      <c r="L35" s="287"/>
      <c r="M35" s="287"/>
      <c r="N35" s="296"/>
      <c r="O35" s="287"/>
      <c r="P35" s="287"/>
      <c r="Q35" s="287"/>
      <c r="R35" s="287"/>
      <c r="S35" s="287"/>
      <c r="T35" s="287"/>
      <c r="U35" s="287"/>
      <c r="V35" s="287"/>
      <c r="W35" s="287"/>
      <c r="X35" s="287"/>
    </row>
    <row r="36" spans="1:24" x14ac:dyDescent="0.2">
      <c r="A36" s="293">
        <f>IF(OR(ISBLANK(#REF!),ISBLANK(#REF!)),0,1)</f>
        <v>1</v>
      </c>
      <c r="B36" s="293" t="e">
        <f>IF(AND($A36=1,#REF!&gt;#REF!),1,0)</f>
        <v>#REF!</v>
      </c>
      <c r="C36" s="293" t="e">
        <f>IF(AND($A36=1,#REF!=#REF!),1,0)</f>
        <v>#REF!</v>
      </c>
      <c r="D36" s="293" t="e">
        <f>IF(AND($A36=1,#REF!&lt;#REF!),1,0)</f>
        <v>#REF!</v>
      </c>
      <c r="E36" s="293" t="e">
        <f>IF(VLOOKUP(#REF!,$N$2:$U$19,8,FALSE)=VLOOKUP(#REF!,$N$2:$U$19,8,FALSE),1,0)</f>
        <v>#REF!</v>
      </c>
      <c r="F36" s="294" t="e">
        <f t="shared" ref="F36:F44" si="3">IF($E36=1,2*$B36-2*$D36,0)</f>
        <v>#REF!</v>
      </c>
      <c r="G36" s="294" t="e">
        <f>IF($E36=1,#REF!-#REF!,0)</f>
        <v>#REF!</v>
      </c>
      <c r="H36" s="294" t="e">
        <f>IF($E36=1,#REF!,0)</f>
        <v>#REF!</v>
      </c>
      <c r="I36" s="287"/>
      <c r="J36" s="287"/>
      <c r="K36" s="298"/>
      <c r="L36" s="287"/>
      <c r="M36" s="287"/>
      <c r="N36" s="296"/>
      <c r="O36" s="287"/>
      <c r="P36" s="287"/>
      <c r="Q36" s="287"/>
      <c r="R36" s="287"/>
      <c r="S36" s="287"/>
      <c r="T36" s="287"/>
      <c r="U36" s="287"/>
      <c r="V36" s="287"/>
      <c r="W36" s="287"/>
      <c r="X36" s="287"/>
    </row>
    <row r="37" spans="1:24" x14ac:dyDescent="0.2">
      <c r="A37" s="293">
        <f>IF(OR(ISBLANK(#REF!),ISBLANK(#REF!)),0,1)</f>
        <v>1</v>
      </c>
      <c r="B37" s="293" t="e">
        <f>IF(AND($A37=1,#REF!&gt;#REF!),1,0)</f>
        <v>#REF!</v>
      </c>
      <c r="C37" s="293" t="e">
        <f>IF(AND($A37=1,#REF!=#REF!),1,0)</f>
        <v>#REF!</v>
      </c>
      <c r="D37" s="293" t="e">
        <f>IF(AND($A37=1,#REF!&lt;#REF!),1,0)</f>
        <v>#REF!</v>
      </c>
      <c r="E37" s="293" t="e">
        <f>IF(VLOOKUP(#REF!,$N$2:$U$19,8,FALSE)=VLOOKUP(#REF!,$N$2:$U$19,8,FALSE),1,0)</f>
        <v>#REF!</v>
      </c>
      <c r="F37" s="294" t="e">
        <f t="shared" si="3"/>
        <v>#REF!</v>
      </c>
      <c r="G37" s="294" t="e">
        <f>IF($E37=1,#REF!-#REF!,0)</f>
        <v>#REF!</v>
      </c>
      <c r="H37" s="294" t="e">
        <f>IF($E37=1,#REF!,0)</f>
        <v>#REF!</v>
      </c>
      <c r="I37" s="287"/>
      <c r="J37" s="287"/>
      <c r="K37" s="299"/>
      <c r="L37" s="287"/>
      <c r="M37" s="287"/>
      <c r="N37" s="296"/>
      <c r="O37" s="287"/>
      <c r="P37" s="287"/>
      <c r="Q37" s="287"/>
      <c r="R37" s="287"/>
      <c r="S37" s="287"/>
      <c r="T37" s="287"/>
      <c r="U37" s="287"/>
      <c r="V37" s="287"/>
      <c r="W37" s="287"/>
      <c r="X37" s="287"/>
    </row>
    <row r="38" spans="1:24" x14ac:dyDescent="0.2">
      <c r="A38" s="293">
        <f>IF(OR(ISBLANK(#REF!),ISBLANK(#REF!)),0,1)</f>
        <v>1</v>
      </c>
      <c r="B38" s="293" t="e">
        <f>IF(AND($A38=1,#REF!&gt;#REF!),1,0)</f>
        <v>#REF!</v>
      </c>
      <c r="C38" s="293" t="e">
        <f>IF(AND($A38=1,#REF!=#REF!),1,0)</f>
        <v>#REF!</v>
      </c>
      <c r="D38" s="293" t="e">
        <f>IF(AND($A38=1,#REF!&lt;#REF!),1,0)</f>
        <v>#REF!</v>
      </c>
      <c r="E38" s="293" t="e">
        <f>IF(VLOOKUP(#REF!,$N$2:$U$19,8,FALSE)=VLOOKUP(#REF!,$N$2:$U$19,8,FALSE),1,0)</f>
        <v>#REF!</v>
      </c>
      <c r="F38" s="294" t="e">
        <f t="shared" si="3"/>
        <v>#REF!</v>
      </c>
      <c r="G38" s="294" t="e">
        <f>IF($E38=1,#REF!-#REF!,0)</f>
        <v>#REF!</v>
      </c>
      <c r="H38" s="294" t="e">
        <f>IF($E38=1,#REF!,0)</f>
        <v>#REF!</v>
      </c>
      <c r="I38" s="287"/>
      <c r="J38" s="287"/>
      <c r="K38" s="299"/>
      <c r="L38" s="287"/>
      <c r="M38" s="287"/>
      <c r="N38" s="296"/>
      <c r="O38" s="287"/>
      <c r="P38" s="287"/>
      <c r="Q38" s="287"/>
      <c r="R38" s="287"/>
      <c r="S38" s="287"/>
      <c r="T38" s="287"/>
      <c r="U38" s="287"/>
      <c r="V38" s="287"/>
      <c r="W38" s="287"/>
      <c r="X38" s="287"/>
    </row>
    <row r="39" spans="1:24" x14ac:dyDescent="0.2">
      <c r="A39" s="293">
        <f>IF(OR(ISBLANK(#REF!),ISBLANK(#REF!)),0,1)</f>
        <v>1</v>
      </c>
      <c r="B39" s="293" t="e">
        <f>IF(AND($A39=1,#REF!&gt;#REF!),1,0)</f>
        <v>#REF!</v>
      </c>
      <c r="C39" s="293" t="e">
        <f>IF(AND($A39=1,#REF!=#REF!),1,0)</f>
        <v>#REF!</v>
      </c>
      <c r="D39" s="293" t="e">
        <f>IF(AND($A39=1,#REF!&lt;#REF!),1,0)</f>
        <v>#REF!</v>
      </c>
      <c r="E39" s="293" t="e">
        <f>IF(VLOOKUP(#REF!,$N$2:$U$19,8,FALSE)=VLOOKUP(#REF!,$N$2:$U$19,8,FALSE),1,0)</f>
        <v>#REF!</v>
      </c>
      <c r="F39" s="294" t="e">
        <f t="shared" si="3"/>
        <v>#REF!</v>
      </c>
      <c r="G39" s="294" t="e">
        <f>IF($E39=1,#REF!-#REF!,0)</f>
        <v>#REF!</v>
      </c>
      <c r="H39" s="294" t="e">
        <f>IF($E39=1,#REF!,0)</f>
        <v>#REF!</v>
      </c>
      <c r="I39" s="287"/>
      <c r="J39" s="287"/>
      <c r="K39" s="299"/>
      <c r="L39" s="287"/>
      <c r="M39" s="287"/>
      <c r="N39" s="296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1:24" x14ac:dyDescent="0.2">
      <c r="A40" s="293">
        <f>IF(OR(ISBLANK(#REF!),ISBLANK(#REF!)),0,1)</f>
        <v>1</v>
      </c>
      <c r="B40" s="293" t="e">
        <f>IF(AND($A40=1,#REF!&gt;#REF!),1,0)</f>
        <v>#REF!</v>
      </c>
      <c r="C40" s="293" t="e">
        <f>IF(AND($A40=1,#REF!=#REF!),1,0)</f>
        <v>#REF!</v>
      </c>
      <c r="D40" s="293" t="e">
        <f>IF(AND($A40=1,#REF!&lt;#REF!),1,0)</f>
        <v>#REF!</v>
      </c>
      <c r="E40" s="293" t="e">
        <f>IF(VLOOKUP(#REF!,$N$2:$U$19,8,FALSE)=VLOOKUP(#REF!,$N$2:$U$19,8,FALSE),1,0)</f>
        <v>#REF!</v>
      </c>
      <c r="F40" s="294" t="e">
        <f t="shared" si="3"/>
        <v>#REF!</v>
      </c>
      <c r="G40" s="294" t="e">
        <f>IF($E40=1,#REF!-#REF!,0)</f>
        <v>#REF!</v>
      </c>
      <c r="H40" s="294" t="e">
        <f>IF($E40=1,#REF!,0)</f>
        <v>#REF!</v>
      </c>
      <c r="I40" s="287"/>
      <c r="J40" s="287"/>
      <c r="K40" s="287"/>
      <c r="L40" s="287"/>
      <c r="M40" s="287"/>
      <c r="N40" s="296"/>
      <c r="O40" s="287"/>
      <c r="P40" s="287"/>
      <c r="Q40" s="287"/>
      <c r="R40" s="287"/>
      <c r="S40" s="287"/>
      <c r="T40" s="287"/>
      <c r="U40" s="287"/>
      <c r="V40" s="287"/>
      <c r="W40" s="287"/>
      <c r="X40" s="287"/>
    </row>
    <row r="41" spans="1:24" x14ac:dyDescent="0.2">
      <c r="A41" s="293">
        <f>IF(OR(ISBLANK(#REF!),ISBLANK(#REF!)),0,1)</f>
        <v>1</v>
      </c>
      <c r="B41" s="293" t="e">
        <f>IF(AND($A41=1,#REF!&gt;#REF!),1,0)</f>
        <v>#REF!</v>
      </c>
      <c r="C41" s="293" t="e">
        <f>IF(AND($A41=1,#REF!=#REF!),1,0)</f>
        <v>#REF!</v>
      </c>
      <c r="D41" s="293" t="e">
        <f>IF(AND($A41=1,#REF!&lt;#REF!),1,0)</f>
        <v>#REF!</v>
      </c>
      <c r="E41" s="293" t="e">
        <f>IF(VLOOKUP(#REF!,$N$2:$U$19,8,FALSE)=VLOOKUP(#REF!,$N$2:$U$19,8,FALSE),1,0)</f>
        <v>#REF!</v>
      </c>
      <c r="F41" s="294" t="e">
        <f t="shared" si="3"/>
        <v>#REF!</v>
      </c>
      <c r="G41" s="294" t="e">
        <f>IF($E41=1,#REF!-#REF!,0)</f>
        <v>#REF!</v>
      </c>
      <c r="H41" s="294" t="e">
        <f>IF($E41=1,#REF!,0)</f>
        <v>#REF!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1:24" x14ac:dyDescent="0.2">
      <c r="A42" s="293">
        <f>IF(OR(ISBLANK(#REF!),ISBLANK(#REF!)),0,1)</f>
        <v>1</v>
      </c>
      <c r="B42" s="293" t="e">
        <f>IF(AND($A42=1,#REF!&gt;#REF!),1,0)</f>
        <v>#REF!</v>
      </c>
      <c r="C42" s="293" t="e">
        <f>IF(AND($A42=1,#REF!=#REF!),1,0)</f>
        <v>#REF!</v>
      </c>
      <c r="D42" s="293" t="e">
        <f>IF(AND($A42=1,#REF!&lt;#REF!),1,0)</f>
        <v>#REF!</v>
      </c>
      <c r="E42" s="293" t="e">
        <f>IF(VLOOKUP(#REF!,$N$2:$U$19,8,FALSE)=VLOOKUP(#REF!,$N$2:$U$19,8,FALSE),1,0)</f>
        <v>#REF!</v>
      </c>
      <c r="F42" s="294" t="e">
        <f t="shared" si="3"/>
        <v>#REF!</v>
      </c>
      <c r="G42" s="294" t="e">
        <f>IF($E42=1,#REF!-#REF!,0)</f>
        <v>#REF!</v>
      </c>
      <c r="H42" s="294" t="e">
        <f>IF($E42=1,#REF!,0)</f>
        <v>#REF!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</row>
    <row r="43" spans="1:24" x14ac:dyDescent="0.2">
      <c r="A43" s="293">
        <f>IF(OR(ISBLANK(#REF!),ISBLANK(#REF!)),0,1)</f>
        <v>1</v>
      </c>
      <c r="B43" s="293" t="e">
        <f>IF(AND($A43=1,#REF!&gt;#REF!),1,0)</f>
        <v>#REF!</v>
      </c>
      <c r="C43" s="293" t="e">
        <f>IF(AND($A43=1,#REF!=#REF!),1,0)</f>
        <v>#REF!</v>
      </c>
      <c r="D43" s="293" t="e">
        <f>IF(AND($A43=1,#REF!&lt;#REF!),1,0)</f>
        <v>#REF!</v>
      </c>
      <c r="E43" s="293" t="e">
        <f>IF(VLOOKUP(#REF!,$N$2:$U$19,8,FALSE)=VLOOKUP(#REF!,$N$2:$U$19,8,FALSE),1,0)</f>
        <v>#REF!</v>
      </c>
      <c r="F43" s="294" t="e">
        <f t="shared" si="3"/>
        <v>#REF!</v>
      </c>
      <c r="G43" s="294" t="e">
        <f>IF($E43=1,#REF!-#REF!,0)</f>
        <v>#REF!</v>
      </c>
      <c r="H43" s="294" t="e">
        <f>IF($E43=1,#REF!,0)</f>
        <v>#REF!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</row>
    <row r="44" spans="1:24" x14ac:dyDescent="0.2">
      <c r="A44" s="293">
        <f>IF(OR(ISBLANK(#REF!),ISBLANK(#REF!)),0,1)</f>
        <v>1</v>
      </c>
      <c r="B44" s="293" t="e">
        <f>IF(AND($A44=1,#REF!&gt;#REF!),1,0)</f>
        <v>#REF!</v>
      </c>
      <c r="C44" s="293" t="e">
        <f>IF(AND($A44=1,#REF!=#REF!),1,0)</f>
        <v>#REF!</v>
      </c>
      <c r="D44" s="293" t="e">
        <f>IF(AND($A44=1,#REF!&lt;#REF!),1,0)</f>
        <v>#REF!</v>
      </c>
      <c r="E44" s="293" t="e">
        <f>IF(VLOOKUP(#REF!,$N$2:$U$19,8,FALSE)=VLOOKUP(#REF!,$N$2:$U$19,8,FALSE),1,0)</f>
        <v>#REF!</v>
      </c>
      <c r="F44" s="294" t="e">
        <f t="shared" si="3"/>
        <v>#REF!</v>
      </c>
      <c r="G44" s="294" t="e">
        <f>IF($E44=1,#REF!-#REF!,0)</f>
        <v>#REF!</v>
      </c>
      <c r="H44" s="294" t="e">
        <f>IF($E44=1,#REF!,0)</f>
        <v>#REF!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</row>
    <row r="45" spans="1:24" x14ac:dyDescent="0.2">
      <c r="A45" s="293"/>
      <c r="B45" s="293"/>
      <c r="C45" s="293"/>
      <c r="D45" s="293"/>
      <c r="E45" s="293"/>
      <c r="F45" s="294"/>
      <c r="G45" s="294"/>
      <c r="H45" s="294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</row>
    <row r="46" spans="1:24" x14ac:dyDescent="0.2">
      <c r="A46" s="293"/>
      <c r="B46" s="293"/>
      <c r="C46" s="293"/>
      <c r="D46" s="293"/>
      <c r="E46" s="293"/>
      <c r="F46" s="294"/>
      <c r="G46" s="294"/>
      <c r="H46" s="294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1:24" x14ac:dyDescent="0.2">
      <c r="A47" s="293"/>
      <c r="B47" s="293"/>
      <c r="C47" s="293"/>
      <c r="D47" s="293"/>
      <c r="E47" s="293"/>
      <c r="F47" s="294"/>
      <c r="G47" s="294"/>
      <c r="H47" s="294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</row>
    <row r="48" spans="1:24" x14ac:dyDescent="0.2">
      <c r="A48" s="293"/>
      <c r="B48" s="293"/>
      <c r="C48" s="293"/>
      <c r="D48" s="293"/>
      <c r="E48" s="293"/>
      <c r="F48" s="294"/>
      <c r="G48" s="294"/>
      <c r="H48" s="294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1:24" x14ac:dyDescent="0.2">
      <c r="A49" s="293"/>
      <c r="B49" s="293"/>
      <c r="C49" s="293"/>
      <c r="D49" s="293"/>
      <c r="E49" s="293"/>
      <c r="F49" s="294"/>
      <c r="G49" s="294"/>
      <c r="H49" s="294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4" x14ac:dyDescent="0.2">
      <c r="A50" s="293"/>
      <c r="B50" s="293"/>
      <c r="C50" s="293"/>
      <c r="D50" s="293"/>
      <c r="E50" s="293"/>
      <c r="F50" s="294"/>
      <c r="G50" s="294"/>
      <c r="H50" s="294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</row>
    <row r="51" spans="1:24" x14ac:dyDescent="0.2">
      <c r="A51" s="293"/>
      <c r="B51" s="293"/>
      <c r="C51" s="293"/>
      <c r="D51" s="293"/>
      <c r="E51" s="293"/>
      <c r="F51" s="294"/>
      <c r="G51" s="294"/>
      <c r="H51" s="294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x14ac:dyDescent="0.2">
      <c r="A52" s="293"/>
      <c r="B52" s="293"/>
      <c r="C52" s="293"/>
      <c r="D52" s="293"/>
      <c r="E52" s="293"/>
      <c r="F52" s="294"/>
      <c r="G52" s="294"/>
      <c r="H52" s="294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x14ac:dyDescent="0.2">
      <c r="A53" s="293"/>
      <c r="B53" s="293"/>
      <c r="C53" s="293"/>
      <c r="D53" s="293"/>
      <c r="E53" s="293"/>
      <c r="F53" s="294"/>
      <c r="G53" s="294"/>
      <c r="H53" s="294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x14ac:dyDescent="0.2">
      <c r="A54" s="293"/>
      <c r="B54" s="293"/>
      <c r="C54" s="293"/>
      <c r="D54" s="293"/>
      <c r="E54" s="293"/>
      <c r="F54" s="294"/>
      <c r="G54" s="294"/>
      <c r="H54" s="294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x14ac:dyDescent="0.2">
      <c r="A55" s="293"/>
      <c r="B55" s="293"/>
      <c r="C55" s="293"/>
      <c r="D55" s="293"/>
      <c r="E55" s="293"/>
      <c r="F55" s="294"/>
      <c r="G55" s="294"/>
      <c r="H55" s="294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x14ac:dyDescent="0.2">
      <c r="A56" s="293"/>
      <c r="B56" s="293"/>
      <c r="C56" s="293"/>
      <c r="D56" s="293"/>
      <c r="E56" s="293"/>
      <c r="F56" s="294"/>
      <c r="G56" s="294"/>
      <c r="H56" s="294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x14ac:dyDescent="0.2">
      <c r="A57" s="293"/>
      <c r="B57" s="293"/>
      <c r="C57" s="293"/>
      <c r="D57" s="293"/>
      <c r="E57" s="293"/>
      <c r="F57" s="294"/>
      <c r="G57" s="294"/>
      <c r="H57" s="294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3"/>
      <c r="B58" s="293"/>
      <c r="C58" s="293"/>
      <c r="D58" s="293"/>
      <c r="E58" s="293"/>
      <c r="F58" s="294"/>
      <c r="G58" s="294"/>
      <c r="H58" s="294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x14ac:dyDescent="0.2">
      <c r="A59" s="293"/>
      <c r="B59" s="293"/>
      <c r="C59" s="293"/>
      <c r="D59" s="293"/>
      <c r="E59" s="293"/>
      <c r="F59" s="294"/>
      <c r="G59" s="294"/>
      <c r="H59" s="294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x14ac:dyDescent="0.2">
      <c r="A60" s="293"/>
      <c r="B60" s="293"/>
      <c r="C60" s="293"/>
      <c r="D60" s="293"/>
      <c r="E60" s="293"/>
      <c r="F60" s="294"/>
      <c r="G60" s="294"/>
      <c r="H60" s="294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x14ac:dyDescent="0.2">
      <c r="A61" s="293"/>
      <c r="B61" s="293"/>
      <c r="C61" s="293"/>
      <c r="D61" s="293"/>
      <c r="E61" s="293"/>
      <c r="F61" s="294"/>
      <c r="G61" s="294"/>
      <c r="H61" s="294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x14ac:dyDescent="0.2">
      <c r="A62" s="293"/>
      <c r="B62" s="293"/>
      <c r="C62" s="293"/>
      <c r="D62" s="293"/>
      <c r="E62" s="293"/>
      <c r="F62" s="294"/>
      <c r="G62" s="294"/>
      <c r="H62" s="294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x14ac:dyDescent="0.2">
      <c r="A63" s="293"/>
      <c r="B63" s="293"/>
      <c r="C63" s="293"/>
      <c r="D63" s="293"/>
      <c r="E63" s="293"/>
      <c r="F63" s="294"/>
      <c r="G63" s="294"/>
      <c r="H63" s="294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x14ac:dyDescent="0.2">
      <c r="A64" s="293"/>
      <c r="B64" s="293"/>
      <c r="C64" s="293"/>
      <c r="D64" s="293"/>
      <c r="E64" s="293"/>
      <c r="F64" s="294"/>
      <c r="G64" s="294"/>
      <c r="H64" s="294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x14ac:dyDescent="0.2">
      <c r="A65" s="293"/>
      <c r="B65" s="293"/>
      <c r="C65" s="293"/>
      <c r="D65" s="293"/>
      <c r="E65" s="293"/>
      <c r="F65" s="294"/>
      <c r="G65" s="294"/>
      <c r="H65" s="294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x14ac:dyDescent="0.2">
      <c r="A66" s="293"/>
      <c r="B66" s="293"/>
      <c r="C66" s="293"/>
      <c r="D66" s="293"/>
      <c r="E66" s="293"/>
      <c r="F66" s="294"/>
      <c r="G66" s="294"/>
      <c r="H66" s="294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x14ac:dyDescent="0.2">
      <c r="A67" s="293"/>
      <c r="B67" s="293"/>
      <c r="C67" s="293"/>
      <c r="D67" s="293"/>
      <c r="E67" s="293"/>
      <c r="F67" s="294"/>
      <c r="G67" s="294"/>
      <c r="H67" s="294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x14ac:dyDescent="0.2">
      <c r="A68" s="293"/>
      <c r="B68" s="293"/>
      <c r="C68" s="293"/>
      <c r="D68" s="293"/>
      <c r="E68" s="293"/>
      <c r="F68" s="294"/>
      <c r="G68" s="294"/>
      <c r="H68" s="294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x14ac:dyDescent="0.2">
      <c r="A69" s="293"/>
      <c r="B69" s="293"/>
      <c r="C69" s="293"/>
      <c r="D69" s="293"/>
      <c r="E69" s="293"/>
      <c r="F69" s="294"/>
      <c r="G69" s="294"/>
      <c r="H69" s="294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x14ac:dyDescent="0.2">
      <c r="A70" s="293"/>
      <c r="B70" s="293"/>
      <c r="C70" s="293"/>
      <c r="D70" s="293"/>
      <c r="E70" s="293"/>
      <c r="F70" s="294"/>
      <c r="G70" s="294"/>
      <c r="H70" s="294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x14ac:dyDescent="0.2">
      <c r="A71" s="293"/>
      <c r="B71" s="293"/>
      <c r="C71" s="293"/>
      <c r="D71" s="293"/>
      <c r="E71" s="293"/>
      <c r="F71" s="294"/>
      <c r="G71" s="294"/>
      <c r="H71" s="294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x14ac:dyDescent="0.2">
      <c r="A72" s="293"/>
      <c r="B72" s="293"/>
      <c r="C72" s="293"/>
      <c r="D72" s="293"/>
      <c r="E72" s="293"/>
      <c r="F72" s="294"/>
      <c r="G72" s="294"/>
      <c r="H72" s="294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x14ac:dyDescent="0.2">
      <c r="A73" s="293"/>
      <c r="B73" s="293"/>
      <c r="C73" s="293"/>
      <c r="D73" s="293"/>
      <c r="E73" s="293"/>
      <c r="F73" s="294"/>
      <c r="G73" s="294"/>
      <c r="H73" s="294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x14ac:dyDescent="0.2">
      <c r="A74" s="293"/>
      <c r="B74" s="293"/>
      <c r="C74" s="293"/>
      <c r="D74" s="293"/>
      <c r="E74" s="293"/>
      <c r="F74" s="294"/>
      <c r="G74" s="294"/>
      <c r="H74" s="294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x14ac:dyDescent="0.2">
      <c r="A75" s="293"/>
      <c r="B75" s="293"/>
      <c r="C75" s="293"/>
      <c r="D75" s="293"/>
      <c r="E75" s="293"/>
      <c r="F75" s="294"/>
      <c r="G75" s="294"/>
      <c r="H75" s="294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x14ac:dyDescent="0.2">
      <c r="A76" s="293"/>
      <c r="B76" s="293"/>
      <c r="C76" s="293"/>
      <c r="D76" s="293"/>
      <c r="E76" s="293"/>
      <c r="F76" s="294"/>
      <c r="G76" s="294"/>
      <c r="H76" s="294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x14ac:dyDescent="0.2">
      <c r="A77" s="293"/>
      <c r="B77" s="293"/>
      <c r="C77" s="293"/>
      <c r="D77" s="293"/>
      <c r="E77" s="293"/>
      <c r="F77" s="294"/>
      <c r="G77" s="294"/>
      <c r="H77" s="294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x14ac:dyDescent="0.2">
      <c r="A78" s="293"/>
      <c r="B78" s="293"/>
      <c r="C78" s="293"/>
      <c r="D78" s="293"/>
      <c r="E78" s="293"/>
      <c r="F78" s="294"/>
      <c r="G78" s="294"/>
      <c r="H78" s="294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x14ac:dyDescent="0.2">
      <c r="A79" s="293"/>
      <c r="B79" s="293"/>
      <c r="C79" s="293"/>
      <c r="D79" s="293"/>
      <c r="E79" s="293"/>
      <c r="F79" s="294"/>
      <c r="G79" s="294"/>
      <c r="H79" s="294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x14ac:dyDescent="0.2">
      <c r="A80" s="293"/>
      <c r="B80" s="293"/>
      <c r="C80" s="293"/>
      <c r="D80" s="293"/>
      <c r="E80" s="293"/>
      <c r="F80" s="294"/>
      <c r="G80" s="294"/>
      <c r="H80" s="294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x14ac:dyDescent="0.2">
      <c r="A81" s="293"/>
      <c r="B81" s="293"/>
      <c r="C81" s="293"/>
      <c r="D81" s="293"/>
      <c r="E81" s="293"/>
      <c r="F81" s="294"/>
      <c r="G81" s="294"/>
      <c r="H81" s="294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x14ac:dyDescent="0.2">
      <c r="A82" s="293"/>
      <c r="B82" s="293"/>
      <c r="C82" s="293"/>
      <c r="D82" s="293"/>
      <c r="E82" s="293"/>
      <c r="F82" s="294"/>
      <c r="G82" s="294"/>
      <c r="H82" s="294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3"/>
      <c r="B83" s="293"/>
      <c r="C83" s="293"/>
      <c r="D83" s="293"/>
      <c r="E83" s="293"/>
      <c r="F83" s="294"/>
      <c r="G83" s="294"/>
      <c r="H83" s="294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3"/>
      <c r="B84" s="293"/>
      <c r="C84" s="293"/>
      <c r="D84" s="293"/>
      <c r="E84" s="293"/>
      <c r="F84" s="294"/>
      <c r="G84" s="294"/>
      <c r="H84" s="294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3"/>
      <c r="B85" s="293"/>
      <c r="C85" s="293"/>
      <c r="D85" s="293"/>
      <c r="E85" s="293"/>
      <c r="F85" s="294"/>
      <c r="G85" s="294"/>
      <c r="H85" s="294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x14ac:dyDescent="0.2">
      <c r="A86" s="293"/>
      <c r="B86" s="293"/>
      <c r="C86" s="293"/>
      <c r="D86" s="293"/>
      <c r="E86" s="293"/>
      <c r="F86" s="294"/>
      <c r="G86" s="294"/>
      <c r="H86" s="294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x14ac:dyDescent="0.2">
      <c r="A87" s="293"/>
      <c r="B87" s="293"/>
      <c r="C87" s="293"/>
      <c r="D87" s="293"/>
      <c r="E87" s="293"/>
      <c r="F87" s="294"/>
      <c r="G87" s="294"/>
      <c r="H87" s="294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x14ac:dyDescent="0.2">
      <c r="A88" s="293"/>
      <c r="B88" s="293"/>
      <c r="C88" s="293"/>
      <c r="D88" s="293"/>
      <c r="E88" s="293"/>
      <c r="F88" s="294"/>
      <c r="G88" s="294"/>
      <c r="H88" s="294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x14ac:dyDescent="0.2">
      <c r="A89" s="293"/>
      <c r="B89" s="293"/>
      <c r="C89" s="293"/>
      <c r="D89" s="293"/>
      <c r="E89" s="293"/>
      <c r="F89" s="294"/>
      <c r="G89" s="294"/>
      <c r="H89" s="294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x14ac:dyDescent="0.2">
      <c r="A90" s="293"/>
      <c r="B90" s="293"/>
      <c r="C90" s="293"/>
      <c r="D90" s="293"/>
      <c r="E90" s="293"/>
      <c r="F90" s="294"/>
      <c r="G90" s="294"/>
      <c r="H90" s="294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x14ac:dyDescent="0.2">
      <c r="A91" s="293"/>
      <c r="B91" s="293"/>
      <c r="C91" s="293"/>
      <c r="D91" s="293"/>
      <c r="E91" s="293"/>
      <c r="F91" s="294"/>
      <c r="G91" s="294"/>
      <c r="H91" s="294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x14ac:dyDescent="0.2">
      <c r="A92" s="293"/>
      <c r="B92" s="293"/>
      <c r="C92" s="293"/>
      <c r="D92" s="293"/>
      <c r="E92" s="293"/>
      <c r="F92" s="294"/>
      <c r="G92" s="294"/>
      <c r="H92" s="294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x14ac:dyDescent="0.2">
      <c r="A93" s="293"/>
      <c r="B93" s="293"/>
      <c r="C93" s="293"/>
      <c r="D93" s="293"/>
      <c r="E93" s="293"/>
      <c r="F93" s="294"/>
      <c r="G93" s="294"/>
      <c r="H93" s="294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x14ac:dyDescent="0.2">
      <c r="A94" s="293"/>
      <c r="B94" s="293"/>
      <c r="C94" s="293"/>
      <c r="D94" s="293"/>
      <c r="E94" s="293"/>
      <c r="F94" s="294"/>
      <c r="G94" s="294"/>
      <c r="H94" s="294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x14ac:dyDescent="0.2">
      <c r="A95" s="293"/>
      <c r="B95" s="293"/>
      <c r="C95" s="293"/>
      <c r="D95" s="293"/>
      <c r="E95" s="293"/>
      <c r="F95" s="294"/>
      <c r="G95" s="294"/>
      <c r="H95" s="294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x14ac:dyDescent="0.2">
      <c r="A96" s="293"/>
      <c r="B96" s="293"/>
      <c r="C96" s="293"/>
      <c r="D96" s="293"/>
      <c r="E96" s="293"/>
      <c r="F96" s="294"/>
      <c r="G96" s="294"/>
      <c r="H96" s="294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x14ac:dyDescent="0.2">
      <c r="A97" s="293"/>
      <c r="B97" s="293"/>
      <c r="C97" s="293"/>
      <c r="D97" s="293"/>
      <c r="E97" s="293"/>
      <c r="F97" s="294"/>
      <c r="G97" s="294"/>
      <c r="H97" s="294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x14ac:dyDescent="0.2">
      <c r="A98" s="293"/>
      <c r="B98" s="293"/>
      <c r="C98" s="293"/>
      <c r="D98" s="293"/>
      <c r="E98" s="293"/>
      <c r="F98" s="294"/>
      <c r="G98" s="294"/>
      <c r="H98" s="294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x14ac:dyDescent="0.2">
      <c r="A99" s="293"/>
      <c r="B99" s="293"/>
      <c r="C99" s="293"/>
      <c r="D99" s="293"/>
      <c r="E99" s="293"/>
      <c r="F99" s="294"/>
      <c r="G99" s="294"/>
      <c r="H99" s="294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x14ac:dyDescent="0.2">
      <c r="A100" s="293"/>
      <c r="B100" s="293"/>
      <c r="C100" s="293"/>
      <c r="D100" s="293"/>
      <c r="E100" s="293"/>
      <c r="F100" s="294"/>
      <c r="G100" s="294"/>
      <c r="H100" s="294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x14ac:dyDescent="0.2">
      <c r="A101" s="293"/>
      <c r="B101" s="293"/>
      <c r="C101" s="293"/>
      <c r="D101" s="293"/>
      <c r="E101" s="293"/>
      <c r="F101" s="294"/>
      <c r="G101" s="294"/>
      <c r="H101" s="294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</row>
    <row r="102" spans="1:24" x14ac:dyDescent="0.2">
      <c r="A102" s="293"/>
      <c r="B102" s="293"/>
      <c r="C102" s="293"/>
      <c r="D102" s="293"/>
      <c r="E102" s="293"/>
      <c r="F102" s="294"/>
      <c r="G102" s="294"/>
      <c r="H102" s="294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x14ac:dyDescent="0.2">
      <c r="A103" s="293"/>
      <c r="B103" s="293"/>
      <c r="C103" s="293"/>
      <c r="D103" s="293"/>
      <c r="E103" s="293"/>
      <c r="F103" s="294"/>
      <c r="G103" s="294"/>
      <c r="H103" s="294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x14ac:dyDescent="0.2">
      <c r="A104" s="293"/>
      <c r="B104" s="293"/>
      <c r="C104" s="293"/>
      <c r="D104" s="293"/>
      <c r="E104" s="293"/>
      <c r="F104" s="294"/>
      <c r="G104" s="294"/>
      <c r="H104" s="294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x14ac:dyDescent="0.2">
      <c r="A105" s="293"/>
      <c r="B105" s="293"/>
      <c r="C105" s="293"/>
      <c r="D105" s="293"/>
      <c r="E105" s="293"/>
      <c r="F105" s="294"/>
      <c r="G105" s="294"/>
      <c r="H105" s="294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x14ac:dyDescent="0.2">
      <c r="A106" s="293"/>
      <c r="B106" s="293"/>
      <c r="C106" s="293"/>
      <c r="D106" s="293"/>
      <c r="E106" s="293"/>
      <c r="F106" s="294"/>
      <c r="G106" s="294"/>
      <c r="H106" s="294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x14ac:dyDescent="0.2">
      <c r="A107" s="293"/>
      <c r="B107" s="293"/>
      <c r="C107" s="293"/>
      <c r="D107" s="293"/>
      <c r="E107" s="293"/>
      <c r="F107" s="294"/>
      <c r="G107" s="294"/>
      <c r="H107" s="294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x14ac:dyDescent="0.2">
      <c r="A108" s="293"/>
      <c r="B108" s="293"/>
      <c r="C108" s="293"/>
      <c r="D108" s="293"/>
      <c r="E108" s="293"/>
      <c r="F108" s="294"/>
      <c r="G108" s="294"/>
      <c r="H108" s="294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x14ac:dyDescent="0.2">
      <c r="A109" s="293"/>
      <c r="B109" s="293"/>
      <c r="C109" s="293"/>
      <c r="D109" s="293"/>
      <c r="E109" s="293"/>
      <c r="F109" s="294"/>
      <c r="G109" s="294"/>
      <c r="H109" s="294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x14ac:dyDescent="0.2">
      <c r="A110" s="293"/>
      <c r="B110" s="293"/>
      <c r="C110" s="293"/>
      <c r="D110" s="293"/>
      <c r="E110" s="293"/>
      <c r="F110" s="294"/>
      <c r="G110" s="294"/>
      <c r="H110" s="294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x14ac:dyDescent="0.2">
      <c r="A111" s="293"/>
      <c r="B111" s="293"/>
      <c r="C111" s="293"/>
      <c r="D111" s="293"/>
      <c r="E111" s="293"/>
      <c r="F111" s="294"/>
      <c r="G111" s="294"/>
      <c r="H111" s="294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x14ac:dyDescent="0.2">
      <c r="A112" s="293"/>
      <c r="B112" s="293"/>
      <c r="C112" s="293"/>
      <c r="D112" s="293"/>
      <c r="E112" s="293"/>
      <c r="F112" s="294"/>
      <c r="G112" s="294"/>
      <c r="H112" s="294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x14ac:dyDescent="0.2">
      <c r="A113" s="293"/>
      <c r="B113" s="293"/>
      <c r="C113" s="293"/>
      <c r="D113" s="293"/>
      <c r="E113" s="293"/>
      <c r="F113" s="294"/>
      <c r="G113" s="294"/>
      <c r="H113" s="294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x14ac:dyDescent="0.2">
      <c r="A114" s="293"/>
      <c r="B114" s="293"/>
      <c r="C114" s="293"/>
      <c r="D114" s="293"/>
      <c r="E114" s="293"/>
      <c r="F114" s="294"/>
      <c r="G114" s="294"/>
      <c r="H114" s="294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</row>
    <row r="115" spans="1:24" x14ac:dyDescent="0.2">
      <c r="A115" s="293"/>
      <c r="B115" s="293"/>
      <c r="C115" s="293"/>
      <c r="D115" s="293"/>
      <c r="E115" s="293"/>
      <c r="F115" s="294"/>
      <c r="G115" s="294"/>
      <c r="H115" s="294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x14ac:dyDescent="0.2">
      <c r="A116" s="293"/>
      <c r="B116" s="293"/>
      <c r="C116" s="293"/>
      <c r="D116" s="293"/>
      <c r="E116" s="293"/>
      <c r="F116" s="294"/>
      <c r="G116" s="294"/>
      <c r="H116" s="294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</row>
    <row r="117" spans="1:24" x14ac:dyDescent="0.2">
      <c r="A117" s="293"/>
      <c r="B117" s="293"/>
      <c r="C117" s="293"/>
      <c r="D117" s="293"/>
      <c r="E117" s="293"/>
      <c r="F117" s="294"/>
      <c r="G117" s="294"/>
      <c r="H117" s="294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</row>
    <row r="118" spans="1:24" x14ac:dyDescent="0.2">
      <c r="A118" s="293"/>
      <c r="B118" s="293"/>
      <c r="C118" s="293"/>
      <c r="D118" s="293"/>
      <c r="E118" s="293"/>
      <c r="F118" s="294"/>
      <c r="G118" s="294"/>
      <c r="H118" s="294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x14ac:dyDescent="0.2">
      <c r="A119" s="293"/>
      <c r="B119" s="293"/>
      <c r="C119" s="293"/>
      <c r="D119" s="293"/>
      <c r="E119" s="293"/>
      <c r="F119" s="294"/>
      <c r="G119" s="294"/>
      <c r="H119" s="294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</row>
    <row r="120" spans="1:24" x14ac:dyDescent="0.2">
      <c r="A120" s="293"/>
      <c r="B120" s="293"/>
      <c r="C120" s="293"/>
      <c r="D120" s="293"/>
      <c r="E120" s="293"/>
      <c r="F120" s="294"/>
      <c r="G120" s="294"/>
      <c r="H120" s="294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x14ac:dyDescent="0.2">
      <c r="A121" s="293"/>
      <c r="B121" s="293"/>
      <c r="C121" s="293"/>
      <c r="D121" s="293"/>
      <c r="E121" s="293"/>
      <c r="F121" s="294"/>
      <c r="G121" s="294"/>
      <c r="H121" s="294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</row>
    <row r="122" spans="1:24" x14ac:dyDescent="0.2">
      <c r="A122" s="293"/>
      <c r="B122" s="293"/>
      <c r="C122" s="293"/>
      <c r="D122" s="293"/>
      <c r="E122" s="293"/>
      <c r="F122" s="294"/>
      <c r="G122" s="294"/>
      <c r="H122" s="294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</row>
    <row r="123" spans="1:24" x14ac:dyDescent="0.2">
      <c r="A123" s="293"/>
      <c r="B123" s="293"/>
      <c r="C123" s="293"/>
      <c r="D123" s="293"/>
      <c r="E123" s="293"/>
      <c r="F123" s="294"/>
      <c r="G123" s="294"/>
      <c r="H123" s="294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x14ac:dyDescent="0.2">
      <c r="A124" s="293"/>
      <c r="B124" s="293"/>
      <c r="C124" s="293"/>
      <c r="D124" s="293"/>
      <c r="E124" s="293"/>
      <c r="F124" s="294"/>
      <c r="G124" s="294"/>
      <c r="H124" s="294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x14ac:dyDescent="0.2">
      <c r="A125" s="293"/>
      <c r="B125" s="293"/>
      <c r="C125" s="293"/>
      <c r="D125" s="293"/>
      <c r="E125" s="293"/>
      <c r="F125" s="294"/>
      <c r="G125" s="294"/>
      <c r="H125" s="294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x14ac:dyDescent="0.2">
      <c r="A126" s="293"/>
      <c r="B126" s="293"/>
      <c r="C126" s="293"/>
      <c r="D126" s="293"/>
      <c r="E126" s="293"/>
      <c r="F126" s="294"/>
      <c r="G126" s="294"/>
      <c r="H126" s="294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x14ac:dyDescent="0.2">
      <c r="A127" s="293"/>
      <c r="B127" s="293"/>
      <c r="C127" s="293"/>
      <c r="D127" s="293"/>
      <c r="E127" s="293"/>
      <c r="F127" s="294"/>
      <c r="G127" s="294"/>
      <c r="H127" s="294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x14ac:dyDescent="0.2">
      <c r="A128" s="293"/>
      <c r="B128" s="293"/>
      <c r="C128" s="293"/>
      <c r="D128" s="293"/>
      <c r="E128" s="293"/>
      <c r="F128" s="294"/>
      <c r="G128" s="294"/>
      <c r="H128" s="294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x14ac:dyDescent="0.2">
      <c r="A129" s="293"/>
      <c r="B129" s="293"/>
      <c r="C129" s="293"/>
      <c r="D129" s="293"/>
      <c r="E129" s="293"/>
      <c r="F129" s="294"/>
      <c r="G129" s="294"/>
      <c r="H129" s="294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x14ac:dyDescent="0.2">
      <c r="A130" s="293"/>
      <c r="B130" s="293"/>
      <c r="C130" s="293"/>
      <c r="D130" s="293"/>
      <c r="E130" s="293"/>
      <c r="F130" s="294"/>
      <c r="G130" s="294"/>
      <c r="H130" s="294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x14ac:dyDescent="0.2">
      <c r="A131" s="293"/>
      <c r="B131" s="293"/>
      <c r="C131" s="293"/>
      <c r="D131" s="293"/>
      <c r="E131" s="293"/>
      <c r="F131" s="294"/>
      <c r="G131" s="294"/>
      <c r="H131" s="294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x14ac:dyDescent="0.2">
      <c r="A132" s="293"/>
      <c r="B132" s="293"/>
      <c r="C132" s="293"/>
      <c r="D132" s="293"/>
      <c r="E132" s="293"/>
      <c r="F132" s="294"/>
      <c r="G132" s="294"/>
      <c r="H132" s="294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x14ac:dyDescent="0.2">
      <c r="A133" s="293"/>
      <c r="B133" s="293"/>
      <c r="C133" s="293"/>
      <c r="D133" s="293"/>
      <c r="E133" s="293"/>
      <c r="F133" s="294"/>
      <c r="G133" s="294"/>
      <c r="H133" s="294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x14ac:dyDescent="0.2">
      <c r="A134" s="293"/>
      <c r="B134" s="293"/>
      <c r="C134" s="293"/>
      <c r="D134" s="293"/>
      <c r="E134" s="293"/>
      <c r="F134" s="294"/>
      <c r="G134" s="294"/>
      <c r="H134" s="294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</row>
    <row r="135" spans="1:24" x14ac:dyDescent="0.2">
      <c r="A135" s="293"/>
      <c r="B135" s="293"/>
      <c r="C135" s="293"/>
      <c r="D135" s="293"/>
      <c r="E135" s="293"/>
      <c r="F135" s="294"/>
      <c r="G135" s="294"/>
      <c r="H135" s="294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x14ac:dyDescent="0.2">
      <c r="A136" s="293"/>
      <c r="B136" s="293"/>
      <c r="C136" s="293"/>
      <c r="D136" s="293"/>
      <c r="E136" s="293"/>
      <c r="F136" s="294"/>
      <c r="G136" s="294"/>
      <c r="H136" s="294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x14ac:dyDescent="0.2">
      <c r="A137" s="293"/>
      <c r="B137" s="293"/>
      <c r="C137" s="293"/>
      <c r="D137" s="293"/>
      <c r="E137" s="293"/>
      <c r="F137" s="294"/>
      <c r="G137" s="294"/>
      <c r="H137" s="294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x14ac:dyDescent="0.2">
      <c r="A138" s="293"/>
      <c r="B138" s="293"/>
      <c r="C138" s="293"/>
      <c r="D138" s="293"/>
      <c r="E138" s="293"/>
      <c r="F138" s="294"/>
      <c r="G138" s="294"/>
      <c r="H138" s="294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x14ac:dyDescent="0.2">
      <c r="A139" s="293"/>
      <c r="B139" s="293"/>
      <c r="C139" s="293"/>
      <c r="D139" s="293"/>
      <c r="E139" s="293"/>
      <c r="F139" s="294"/>
      <c r="G139" s="294"/>
      <c r="H139" s="294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x14ac:dyDescent="0.2">
      <c r="A140" s="293"/>
      <c r="B140" s="293"/>
      <c r="C140" s="293"/>
      <c r="D140" s="293"/>
      <c r="E140" s="293"/>
      <c r="F140" s="294"/>
      <c r="G140" s="294"/>
      <c r="H140" s="294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x14ac:dyDescent="0.2">
      <c r="A141" s="293"/>
      <c r="B141" s="293"/>
      <c r="C141" s="293"/>
      <c r="D141" s="293"/>
      <c r="E141" s="293"/>
      <c r="F141" s="294"/>
      <c r="G141" s="294"/>
      <c r="H141" s="294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x14ac:dyDescent="0.2">
      <c r="A142" s="293"/>
      <c r="B142" s="293"/>
      <c r="C142" s="293"/>
      <c r="D142" s="293"/>
      <c r="E142" s="293"/>
      <c r="F142" s="294"/>
      <c r="G142" s="294"/>
      <c r="H142" s="294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x14ac:dyDescent="0.2">
      <c r="A143" s="293"/>
      <c r="B143" s="293"/>
      <c r="C143" s="293"/>
      <c r="D143" s="293"/>
      <c r="E143" s="293"/>
      <c r="F143" s="294"/>
      <c r="G143" s="294"/>
      <c r="H143" s="294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:24" x14ac:dyDescent="0.2">
      <c r="A144" s="293"/>
      <c r="B144" s="293"/>
      <c r="C144" s="293"/>
      <c r="D144" s="293"/>
      <c r="E144" s="293"/>
      <c r="F144" s="294"/>
      <c r="G144" s="294"/>
      <c r="H144" s="294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</row>
    <row r="145" spans="1:24" x14ac:dyDescent="0.2">
      <c r="A145" s="293"/>
      <c r="B145" s="293"/>
      <c r="C145" s="293"/>
      <c r="D145" s="293"/>
      <c r="E145" s="293"/>
      <c r="F145" s="294"/>
      <c r="G145" s="294"/>
      <c r="H145" s="294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</row>
    <row r="146" spans="1:24" x14ac:dyDescent="0.2">
      <c r="A146" s="293"/>
      <c r="B146" s="293"/>
      <c r="C146" s="293"/>
      <c r="D146" s="293"/>
      <c r="E146" s="293"/>
      <c r="F146" s="294"/>
      <c r="G146" s="294"/>
      <c r="H146" s="294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</row>
    <row r="147" spans="1:24" x14ac:dyDescent="0.2">
      <c r="A147" s="293"/>
      <c r="B147" s="293"/>
      <c r="C147" s="293"/>
      <c r="D147" s="293"/>
      <c r="E147" s="293"/>
      <c r="F147" s="294"/>
      <c r="G147" s="294"/>
      <c r="H147" s="294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</row>
    <row r="148" spans="1:24" x14ac:dyDescent="0.2">
      <c r="A148" s="293"/>
      <c r="B148" s="293"/>
      <c r="C148" s="293"/>
      <c r="D148" s="293"/>
      <c r="E148" s="293"/>
      <c r="F148" s="294"/>
      <c r="G148" s="294"/>
      <c r="H148" s="294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</row>
    <row r="149" spans="1:24" x14ac:dyDescent="0.2">
      <c r="A149" s="293"/>
      <c r="B149" s="293"/>
      <c r="C149" s="293"/>
      <c r="D149" s="293"/>
      <c r="E149" s="293"/>
      <c r="F149" s="294"/>
      <c r="G149" s="294"/>
      <c r="H149" s="294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</row>
    <row r="150" spans="1:24" x14ac:dyDescent="0.2">
      <c r="A150" s="293"/>
      <c r="B150" s="293"/>
      <c r="C150" s="293"/>
      <c r="D150" s="293"/>
      <c r="E150" s="293"/>
      <c r="F150" s="294"/>
      <c r="G150" s="294"/>
      <c r="H150" s="294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</row>
    <row r="151" spans="1:24" x14ac:dyDescent="0.2">
      <c r="A151" s="293"/>
      <c r="B151" s="293"/>
      <c r="C151" s="293"/>
      <c r="D151" s="293"/>
      <c r="E151" s="293"/>
      <c r="F151" s="294"/>
      <c r="G151" s="294"/>
      <c r="H151" s="294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</row>
    <row r="152" spans="1:24" x14ac:dyDescent="0.2">
      <c r="A152" s="293"/>
      <c r="B152" s="293"/>
      <c r="C152" s="293"/>
      <c r="D152" s="293"/>
      <c r="E152" s="293"/>
      <c r="F152" s="294"/>
      <c r="G152" s="294"/>
      <c r="H152" s="294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</row>
    <row r="153" spans="1:24" x14ac:dyDescent="0.2">
      <c r="A153" s="293"/>
      <c r="B153" s="293"/>
      <c r="C153" s="293"/>
      <c r="D153" s="293"/>
      <c r="E153" s="293"/>
      <c r="F153" s="294"/>
      <c r="G153" s="294"/>
      <c r="H153" s="294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</row>
    <row r="154" spans="1:24" x14ac:dyDescent="0.2">
      <c r="A154" s="293"/>
      <c r="B154" s="293"/>
      <c r="C154" s="293"/>
      <c r="D154" s="293"/>
      <c r="E154" s="293"/>
      <c r="F154" s="294"/>
      <c r="G154" s="294"/>
      <c r="H154" s="294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</row>
    <row r="155" spans="1:24" x14ac:dyDescent="0.2">
      <c r="A155" s="293"/>
      <c r="B155" s="293"/>
      <c r="C155" s="293"/>
      <c r="D155" s="293"/>
      <c r="E155" s="293"/>
      <c r="F155" s="294"/>
      <c r="G155" s="294"/>
      <c r="H155" s="294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</row>
    <row r="156" spans="1:24" x14ac:dyDescent="0.2">
      <c r="A156" s="293"/>
      <c r="B156" s="293"/>
      <c r="C156" s="293"/>
      <c r="D156" s="293"/>
      <c r="E156" s="293"/>
      <c r="F156" s="294"/>
      <c r="G156" s="294"/>
      <c r="H156" s="294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</row>
    <row r="157" spans="1:24" x14ac:dyDescent="0.2">
      <c r="A157" s="293"/>
      <c r="B157" s="293"/>
      <c r="C157" s="293"/>
      <c r="D157" s="293"/>
      <c r="E157" s="293"/>
      <c r="F157" s="294"/>
      <c r="G157" s="294"/>
      <c r="H157" s="294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</row>
    <row r="158" spans="1:24" x14ac:dyDescent="0.2">
      <c r="A158" s="293"/>
      <c r="B158" s="293"/>
      <c r="C158" s="293"/>
      <c r="D158" s="293"/>
      <c r="E158" s="293"/>
      <c r="F158" s="294"/>
      <c r="G158" s="294"/>
      <c r="H158" s="294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</row>
    <row r="159" spans="1:24" x14ac:dyDescent="0.2">
      <c r="A159" s="293"/>
      <c r="B159" s="293"/>
      <c r="C159" s="293"/>
      <c r="D159" s="293"/>
      <c r="E159" s="293"/>
      <c r="F159" s="294"/>
      <c r="G159" s="294"/>
      <c r="H159" s="294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</row>
    <row r="160" spans="1:24" x14ac:dyDescent="0.2">
      <c r="A160" s="293"/>
      <c r="B160" s="293"/>
      <c r="C160" s="293"/>
      <c r="D160" s="293"/>
      <c r="E160" s="293"/>
      <c r="F160" s="294"/>
      <c r="G160" s="294"/>
      <c r="H160" s="294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</row>
    <row r="161" spans="1:24" x14ac:dyDescent="0.2">
      <c r="A161" s="293"/>
      <c r="B161" s="293"/>
      <c r="C161" s="293"/>
      <c r="D161" s="293"/>
      <c r="E161" s="293"/>
      <c r="F161" s="294"/>
      <c r="G161" s="294"/>
      <c r="H161" s="294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</row>
    <row r="162" spans="1:24" x14ac:dyDescent="0.2">
      <c r="A162" s="293"/>
      <c r="B162" s="293"/>
      <c r="C162" s="293"/>
      <c r="D162" s="293"/>
      <c r="E162" s="293"/>
      <c r="F162" s="294"/>
      <c r="G162" s="294"/>
      <c r="H162" s="294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</row>
    <row r="163" spans="1:24" x14ac:dyDescent="0.2">
      <c r="A163" s="293"/>
      <c r="B163" s="293"/>
      <c r="C163" s="293"/>
      <c r="D163" s="293"/>
      <c r="E163" s="293"/>
      <c r="F163" s="294"/>
      <c r="G163" s="294"/>
      <c r="H163" s="294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</row>
    <row r="164" spans="1:24" x14ac:dyDescent="0.2">
      <c r="A164" s="293"/>
      <c r="B164" s="293"/>
      <c r="C164" s="293"/>
      <c r="D164" s="293"/>
      <c r="E164" s="293"/>
      <c r="F164" s="294"/>
      <c r="G164" s="294"/>
      <c r="H164" s="294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</row>
    <row r="165" spans="1:24" x14ac:dyDescent="0.2">
      <c r="A165" s="293"/>
      <c r="B165" s="293"/>
      <c r="C165" s="293"/>
      <c r="D165" s="293"/>
      <c r="E165" s="293"/>
      <c r="F165" s="294"/>
      <c r="G165" s="294"/>
      <c r="H165" s="294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</row>
    <row r="166" spans="1:24" x14ac:dyDescent="0.2">
      <c r="A166" s="293"/>
      <c r="B166" s="293"/>
      <c r="C166" s="293"/>
      <c r="D166" s="293"/>
      <c r="E166" s="293"/>
      <c r="F166" s="294"/>
      <c r="G166" s="294"/>
      <c r="H166" s="294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</row>
    <row r="167" spans="1:24" x14ac:dyDescent="0.2">
      <c r="A167" s="293"/>
      <c r="B167" s="293"/>
      <c r="C167" s="293"/>
      <c r="D167" s="293"/>
      <c r="E167" s="293"/>
      <c r="F167" s="294"/>
      <c r="G167" s="294"/>
      <c r="H167" s="294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</row>
    <row r="168" spans="1:24" x14ac:dyDescent="0.2">
      <c r="A168" s="293"/>
      <c r="B168" s="293"/>
      <c r="C168" s="293"/>
      <c r="D168" s="293"/>
      <c r="E168" s="293"/>
      <c r="F168" s="294"/>
      <c r="G168" s="294"/>
      <c r="H168" s="294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</row>
    <row r="169" spans="1:24" x14ac:dyDescent="0.2">
      <c r="A169" s="293"/>
      <c r="B169" s="293"/>
      <c r="C169" s="293"/>
      <c r="D169" s="293"/>
      <c r="E169" s="293"/>
      <c r="F169" s="294"/>
      <c r="G169" s="294"/>
      <c r="H169" s="294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</row>
    <row r="170" spans="1:24" x14ac:dyDescent="0.2">
      <c r="A170" s="293"/>
      <c r="B170" s="293"/>
      <c r="C170" s="293"/>
      <c r="D170" s="293"/>
      <c r="E170" s="293"/>
      <c r="F170" s="294"/>
      <c r="G170" s="294"/>
      <c r="H170" s="294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</row>
    <row r="171" spans="1:24" x14ac:dyDescent="0.2">
      <c r="A171" s="293"/>
      <c r="B171" s="293"/>
      <c r="C171" s="293"/>
      <c r="D171" s="293"/>
      <c r="E171" s="293"/>
      <c r="F171" s="294"/>
      <c r="G171" s="294"/>
      <c r="H171" s="294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</row>
    <row r="172" spans="1:24" x14ac:dyDescent="0.2">
      <c r="A172" s="293"/>
      <c r="B172" s="293"/>
      <c r="C172" s="293"/>
      <c r="D172" s="293"/>
      <c r="E172" s="293"/>
      <c r="F172" s="294"/>
      <c r="G172" s="294"/>
      <c r="H172" s="294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indexed="13"/>
  </sheetPr>
  <dimension ref="A1:X172"/>
  <sheetViews>
    <sheetView view="pageBreakPreview" topLeftCell="F1" zoomScale="50" zoomScaleSheetLayoutView="50" workbookViewId="0">
      <selection activeCell="H40" sqref="H40"/>
    </sheetView>
  </sheetViews>
  <sheetFormatPr defaultRowHeight="12.75" x14ac:dyDescent="0.2"/>
  <cols>
    <col min="1" max="6" width="9.42578125" customWidth="1"/>
    <col min="7" max="7" width="10.5703125" customWidth="1"/>
    <col min="8" max="8" width="14.85546875" customWidth="1"/>
    <col min="11" max="11" width="19.5703125" customWidth="1"/>
    <col min="14" max="14" width="26.7109375" customWidth="1"/>
    <col min="15" max="16" width="3" customWidth="1"/>
    <col min="17" max="17" width="2.85546875" customWidth="1"/>
    <col min="18" max="21" width="3" customWidth="1"/>
    <col min="22" max="22" width="10.5703125" customWidth="1"/>
    <col min="23" max="23" width="11.85546875" customWidth="1"/>
    <col min="24" max="24" width="12" customWidth="1"/>
    <col min="25" max="25" width="5.5703125" customWidth="1"/>
  </cols>
  <sheetData>
    <row r="1" spans="1:24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03"/>
      <c r="M1" s="403"/>
      <c r="N1" s="287"/>
      <c r="O1" s="288" t="s">
        <v>36</v>
      </c>
      <c r="P1" s="288" t="s">
        <v>11</v>
      </c>
      <c r="Q1" s="288" t="s">
        <v>12</v>
      </c>
      <c r="R1" s="288" t="s">
        <v>13</v>
      </c>
      <c r="S1" s="288" t="s">
        <v>1</v>
      </c>
      <c r="T1" s="288" t="s">
        <v>14</v>
      </c>
      <c r="U1" s="288" t="s">
        <v>10</v>
      </c>
      <c r="V1" s="288" t="s">
        <v>181</v>
      </c>
      <c r="W1" s="288" t="s">
        <v>182</v>
      </c>
      <c r="X1" s="288" t="s">
        <v>183</v>
      </c>
    </row>
    <row r="2" spans="1:24" x14ac:dyDescent="0.2">
      <c r="A2" s="289" t="s">
        <v>36</v>
      </c>
      <c r="B2" s="289" t="s">
        <v>184</v>
      </c>
      <c r="C2" s="289" t="s">
        <v>12</v>
      </c>
      <c r="D2" s="289" t="s">
        <v>185</v>
      </c>
      <c r="E2" s="289" t="s">
        <v>186</v>
      </c>
      <c r="F2" s="289" t="s">
        <v>187</v>
      </c>
      <c r="G2" s="289" t="s">
        <v>188</v>
      </c>
      <c r="H2" s="289" t="s">
        <v>189</v>
      </c>
      <c r="I2" s="287"/>
      <c r="J2" s="287"/>
      <c r="K2" s="290" t="e">
        <f>(((($U2*100+$V2)*100+$W2)*100+$X2)*100+$S2)*100+ROW($K$1)-ROW()</f>
        <v>#REF!</v>
      </c>
      <c r="L2" s="402" t="e">
        <f>RANK(K2,$K$2:$K$5)</f>
        <v>#REF!</v>
      </c>
      <c r="M2" s="402"/>
      <c r="N2" s="291" t="e">
        <f>#REF!</f>
        <v>#REF!</v>
      </c>
      <c r="O2" s="290">
        <f>SUMIF(GRUPB!$A$5:$A$29,$N2,$A$3:$A$374)+SUMIF(GRUPB!$E$5:$E$29,$N2,$A$3:$A$374)</f>
        <v>12</v>
      </c>
      <c r="P2" s="290">
        <f>SUMIF(GRUPB!$A$5:$A$29,$N2,$B$3:$B$374)+SUMIF(GRUPB!$E$5:$E$29,$N2,$D$3:$D$374)</f>
        <v>6</v>
      </c>
      <c r="Q2" s="290">
        <f>SUMIF(GRUPB!$A$5:$A$29,$N2,$C$3:$C$374)+SUMIF(GRUPB!$E$5:$E$29,$N2,$C$3:$C$374)</f>
        <v>0</v>
      </c>
      <c r="R2" s="290">
        <f>O2-P2-Q2</f>
        <v>6</v>
      </c>
      <c r="S2" s="290">
        <f>SUMIF(GRUPB!$A$5:$A$29,$N2,GRUPB!$B$5:$B$29)+SUMIF(GRUPB!$E$5:$E$29,$N2,GRUPB!$D$5:$D$29)</f>
        <v>59</v>
      </c>
      <c r="T2" s="290">
        <f>SUMIF(GRUPB!$A$5:$A$29,$N2,GRUPB!$D$5:$D$29)+SUMIF(GRUPB!$E$5:$E$29,$N2,GRUPB!$B$5:$B$29)</f>
        <v>59</v>
      </c>
      <c r="U2" s="292">
        <f>P2*3+Q2</f>
        <v>18</v>
      </c>
      <c r="V2" s="290" t="e">
        <f>SUMIF(GRUPB!$A$5:$A$29,$N2,$F$3:$F$374)-SUMIF(GRUPB!$E$5:$E$29,$N2,$F$3:$F$374)</f>
        <v>#REF!</v>
      </c>
      <c r="W2" s="290" t="e">
        <f>SUMIF(GRUPB!$A$5:$A$29,$N2,$G$3:$G$374)-SUMIF(GRUPB!$E$5:$E$29,$N2,$G$3:$G$374)</f>
        <v>#REF!</v>
      </c>
      <c r="X2" s="290">
        <f>S2-T2</f>
        <v>0</v>
      </c>
    </row>
    <row r="3" spans="1:24" x14ac:dyDescent="0.2">
      <c r="A3" s="293">
        <f>IF(OR(ISBLANK(GRUPB!$B5),ISBLANK(GRUPB!$D5)),0,1)</f>
        <v>1</v>
      </c>
      <c r="B3" s="293">
        <f>IF(AND($A3=1,GRUPB!$B5&gt;GRUPB!$D5),1,0)</f>
        <v>1</v>
      </c>
      <c r="C3" s="293">
        <f>IF(AND($A3=1,GRUPB!$B5=GRUPB!$D5),1,0)</f>
        <v>0</v>
      </c>
      <c r="D3" s="293">
        <f>IF(AND($A3=1,GRUPB!$B5&lt;GRUPB!$D5),1,0)</f>
        <v>0</v>
      </c>
      <c r="E3" s="293" t="e">
        <f>IF(VLOOKUP(GRUPB!$A5,$N$2:$U$19,8,FALSE)=VLOOKUP(GRUPB!$E5,$N$2:$U$19,8,FALSE),1,0)</f>
        <v>#REF!</v>
      </c>
      <c r="F3" s="294" t="e">
        <f t="shared" ref="F3:F11" si="0">IF($E3=1,2*$B3-2*$D3,0)</f>
        <v>#REF!</v>
      </c>
      <c r="G3" s="294" t="e">
        <f>IF($E3=1,GRUPB!$B5-GRUPB!$D5,0)</f>
        <v>#REF!</v>
      </c>
      <c r="H3" s="294" t="e">
        <f>IF($E3=1,GRUPB!$D5,0)</f>
        <v>#REF!</v>
      </c>
      <c r="I3" s="287"/>
      <c r="J3" s="287"/>
      <c r="K3" s="290" t="e">
        <f>(((($U3*100+$V3)*100+$W3)*100+$X3)*100+$S3)*100+ROW($K$1)-ROW()</f>
        <v>#REF!</v>
      </c>
      <c r="L3" s="402" t="e">
        <f>RANK(K3,$K$2:$K$5)</f>
        <v>#REF!</v>
      </c>
      <c r="M3" s="402"/>
      <c r="N3" s="291" t="e">
        <f>#REF!</f>
        <v>#REF!</v>
      </c>
      <c r="O3" s="290">
        <f>SUMIF(GRUPB!$A$5:$A$29,$N3,$A$3:$A$374)+SUMIF(GRUPB!$E$5:$E$29,$N3,$A$3:$A$374)</f>
        <v>12</v>
      </c>
      <c r="P3" s="290">
        <f>SUMIF(GRUPB!$A$5:$A$29,$N3,$B$3:$B$374)+SUMIF(GRUPB!$E$5:$E$29,$N3,$D$3:$D$374)</f>
        <v>6</v>
      </c>
      <c r="Q3" s="290">
        <f>SUMIF(GRUPB!$A$5:$A$29,$N3,$C$3:$C$374)+SUMIF(GRUPB!$E$5:$E$29,$N3,$C$3:$C$374)</f>
        <v>0</v>
      </c>
      <c r="R3" s="290">
        <f>O3-P3-Q3</f>
        <v>6</v>
      </c>
      <c r="S3" s="290">
        <f>SUMIF(GRUPB!$A$5:$A$29,$N3,GRUPB!$B$5:$B$29)+SUMIF(GRUPB!$E$5:$E$29,$N3,GRUPB!$D$5:$D$29)</f>
        <v>59</v>
      </c>
      <c r="T3" s="290">
        <f>SUMIF(GRUPB!$A$5:$A$29,$N3,GRUPB!$D$5:$D$29)+SUMIF(GRUPB!$E$5:$E$29,$N3,GRUPB!$B$5:$B$29)</f>
        <v>59</v>
      </c>
      <c r="U3" s="292">
        <f>P3*3+Q3</f>
        <v>18</v>
      </c>
      <c r="V3" s="290" t="e">
        <f>SUMIF(GRUPB!$A$5:$A$29,$N3,$F$3:$F$374)-SUMIF(GRUPB!$E$5:$E$29,$N3,$F$3:$F$374)</f>
        <v>#REF!</v>
      </c>
      <c r="W3" s="290" t="e">
        <f>SUMIF(GRUPB!$A$5:$A$29,$N3,$G$3:$G$374)-SUMIF(GRUPB!$E$5:$E$29,$N3,$G$3:$G$374)</f>
        <v>#REF!</v>
      </c>
      <c r="X3" s="290">
        <f>S3-T3</f>
        <v>0</v>
      </c>
    </row>
    <row r="4" spans="1:24" x14ac:dyDescent="0.2">
      <c r="A4" s="293">
        <f>IF(OR(ISBLANK(GRUPB!$B6),ISBLANK(GRUPB!$D6)),0,1)</f>
        <v>1</v>
      </c>
      <c r="B4" s="293">
        <f>IF(AND($A4=1,GRUPB!$B6&gt;GRUPB!$D6),1,0)</f>
        <v>0</v>
      </c>
      <c r="C4" s="293">
        <f>IF(AND($A4=1,GRUPB!$B6=GRUPB!$D6),1,0)</f>
        <v>0</v>
      </c>
      <c r="D4" s="293">
        <f>IF(AND($A4=1,GRUPB!$B6&lt;GRUPB!$D6),1,0)</f>
        <v>1</v>
      </c>
      <c r="E4" s="293" t="e">
        <f>IF(VLOOKUP(GRUPB!$A6,$N$2:$U$19,8,FALSE)=VLOOKUP(GRUPB!$E6,$N$2:$U$19,8,FALSE),1,0)</f>
        <v>#REF!</v>
      </c>
      <c r="F4" s="294" t="e">
        <f t="shared" si="0"/>
        <v>#REF!</v>
      </c>
      <c r="G4" s="294" t="e">
        <f>IF($E4=1,GRUPB!$B6-GRUPB!$D6,0)</f>
        <v>#REF!</v>
      </c>
      <c r="H4" s="294" t="e">
        <f>IF($E4=1,GRUPB!$D6,0)</f>
        <v>#REF!</v>
      </c>
      <c r="I4" s="287"/>
      <c r="J4" s="287"/>
      <c r="K4" s="290" t="e">
        <f>(((($U4*100+$V4)*100+$W4)*100+$X4)*100+$S4)*100+ROW($K$1)-ROW()</f>
        <v>#REF!</v>
      </c>
      <c r="L4" s="402" t="e">
        <f>RANK(K4,$K$2:$K$5)</f>
        <v>#REF!</v>
      </c>
      <c r="M4" s="402"/>
      <c r="N4" s="291" t="e">
        <f>#REF!</f>
        <v>#REF!</v>
      </c>
      <c r="O4" s="290">
        <f>SUMIF(GRUPB!$A$5:$A$29,$N4,$A$3:$A$374)+SUMIF(GRUPB!$E$5:$E$29,$N4,$A$3:$A$374)</f>
        <v>12</v>
      </c>
      <c r="P4" s="290">
        <f>SUMIF(GRUPB!$A$5:$A$29,$N4,$B$3:$B$374)+SUMIF(GRUPB!$E$5:$E$29,$N4,$D$3:$D$374)</f>
        <v>6</v>
      </c>
      <c r="Q4" s="290">
        <f>SUMIF(GRUPB!$A$5:$A$29,$N4,$C$3:$C$374)+SUMIF(GRUPB!$E$5:$E$29,$N4,$C$3:$C$374)</f>
        <v>0</v>
      </c>
      <c r="R4" s="290">
        <f>O4-P4-Q4</f>
        <v>6</v>
      </c>
      <c r="S4" s="290">
        <f>SUMIF(GRUPB!$A$5:$A$29,$N4,GRUPB!$B$5:$B$29)+SUMIF(GRUPB!$E$5:$E$29,$N4,GRUPB!$D$5:$D$29)</f>
        <v>59</v>
      </c>
      <c r="T4" s="290">
        <f>SUMIF(GRUPB!$A$5:$A$29,$N4,GRUPB!$D$5:$D$29)+SUMIF(GRUPB!$E$5:$E$29,$N4,GRUPB!$B$5:$B$29)</f>
        <v>59</v>
      </c>
      <c r="U4" s="292">
        <f>P4*3+Q4</f>
        <v>18</v>
      </c>
      <c r="V4" s="290" t="e">
        <f>SUMIF(GRUPB!$A$5:$A$29,$N4,$F$3:$F$374)-SUMIF(GRUPB!$E$5:$E$29,$N4,$F$3:$F$374)</f>
        <v>#REF!</v>
      </c>
      <c r="W4" s="290" t="e">
        <f>SUMIF(GRUPB!$A$5:$A$29,$N4,$G$3:$G$374)-SUMIF(GRUPB!$E$5:$E$29,$N4,$G$3:$G$374)</f>
        <v>#REF!</v>
      </c>
      <c r="X4" s="290">
        <f>S4-T4</f>
        <v>0</v>
      </c>
    </row>
    <row r="5" spans="1:24" ht="15.75" customHeight="1" x14ac:dyDescent="0.2">
      <c r="A5" s="293">
        <f>IF(OR(ISBLANK(GRUPB!$B7),ISBLANK(GRUPB!$D7)),0,1)</f>
        <v>0</v>
      </c>
      <c r="B5" s="293">
        <f>IF(AND($A5=1,GRUPB!$B7&gt;GRUPB!$D7),1,0)</f>
        <v>0</v>
      </c>
      <c r="C5" s="293">
        <f>IF(AND($A5=1,GRUPB!$B7=GRUPB!$D7),1,0)</f>
        <v>0</v>
      </c>
      <c r="D5" s="293">
        <f>IF(AND($A5=1,GRUPB!$B7&lt;GRUPB!$D7),1,0)</f>
        <v>0</v>
      </c>
      <c r="E5" s="293" t="e">
        <f>IF(VLOOKUP(GRUPB!$A7,$N$2:$U$19,8,FALSE)=VLOOKUP(GRUPB!$E7,$N$2:$U$19,8,FALSE),1,0)</f>
        <v>#N/A</v>
      </c>
      <c r="F5" s="294" t="e">
        <f t="shared" si="0"/>
        <v>#N/A</v>
      </c>
      <c r="G5" s="294" t="e">
        <f>IF($E5=1,GRUPB!$B7-GRUPB!$D7,0)</f>
        <v>#N/A</v>
      </c>
      <c r="H5" s="294" t="e">
        <f>IF($E5=1,GRUPB!$D7,0)</f>
        <v>#N/A</v>
      </c>
      <c r="I5" s="287"/>
      <c r="J5" s="287"/>
      <c r="K5" s="290" t="e">
        <f>(((($U5*100+$V5)*100+$W5)*100+$X5)*100+$S5)*100+ROW($K$1)-ROW()</f>
        <v>#REF!</v>
      </c>
      <c r="L5" s="402" t="e">
        <f>RANK(K5,$K$2:$K$5)</f>
        <v>#REF!</v>
      </c>
      <c r="M5" s="402"/>
      <c r="N5" s="291" t="e">
        <f>#REF!</f>
        <v>#REF!</v>
      </c>
      <c r="O5" s="290">
        <f>SUMIF(GRUPB!$A$5:$A$29,$N5,$A$3:$A$374)+SUMIF(GRUPB!$E$5:$E$29,$N5,$A$3:$A$374)</f>
        <v>12</v>
      </c>
      <c r="P5" s="290">
        <f>SUMIF(GRUPB!$A$5:$A$29,$N5,$B$3:$B$374)+SUMIF(GRUPB!$E$5:$E$29,$N5,$D$3:$D$374)</f>
        <v>6</v>
      </c>
      <c r="Q5" s="290">
        <f>SUMIF(GRUPB!$A$5:$A$29,$N5,$C$3:$C$374)+SUMIF(GRUPB!$E$5:$E$29,$N5,$C$3:$C$374)</f>
        <v>0</v>
      </c>
      <c r="R5" s="290">
        <f>O5-P5-Q5</f>
        <v>6</v>
      </c>
      <c r="S5" s="290">
        <f>SUMIF(GRUPB!$A$5:$A$29,$N5,GRUPB!$B$5:$B$29)+SUMIF(GRUPB!$E$5:$E$29,$N5,GRUPB!$D$5:$D$29)</f>
        <v>59</v>
      </c>
      <c r="T5" s="290">
        <f>SUMIF(GRUPB!$A$5:$A$29,$N5,GRUPB!$D$5:$D$29)+SUMIF(GRUPB!$E$5:$E$29,$N5,GRUPB!$B$5:$B$29)</f>
        <v>59</v>
      </c>
      <c r="U5" s="292">
        <f>P5*3+Q5</f>
        <v>18</v>
      </c>
      <c r="V5" s="290" t="e">
        <f>SUMIF(GRUPB!$A$5:$A$29,$N5,$F$3:$F$374)-SUMIF(GRUPB!$E$5:$E$29,$N5,$F$3:$F$374)</f>
        <v>#REF!</v>
      </c>
      <c r="W5" s="290" t="e">
        <f>SUMIF(GRUPB!$A$5:$A$29,$N5,$G$3:$G$374)-SUMIF(GRUPB!$E$5:$E$29,$N5,$G$3:$G$374)</f>
        <v>#REF!</v>
      </c>
      <c r="X5" s="290">
        <f>S5-T5</f>
        <v>0</v>
      </c>
    </row>
    <row r="6" spans="1:24" x14ac:dyDescent="0.2">
      <c r="A6" s="293">
        <f>IF(OR(ISBLANK(GRUPB!$B8),ISBLANK(GRUPB!$D8)),0,1)</f>
        <v>0</v>
      </c>
      <c r="B6" s="293">
        <f>IF(AND($A6=1,GRUPB!$B8&gt;GRUPB!$D8),1,0)</f>
        <v>0</v>
      </c>
      <c r="C6" s="293">
        <f>IF(AND($A6=1,GRUPB!$B8=GRUPB!$D8),1,0)</f>
        <v>0</v>
      </c>
      <c r="D6" s="293">
        <f>IF(AND($A6=1,GRUPB!$B8&lt;GRUPB!$D8),1,0)</f>
        <v>0</v>
      </c>
      <c r="E6" s="293" t="e">
        <f>IF(VLOOKUP(GRUPB!$A8,$N$2:$U$19,8,FALSE)=VLOOKUP(GRUPB!$E8,$N$2:$U$19,8,FALSE),1,0)</f>
        <v>#N/A</v>
      </c>
      <c r="F6" s="294" t="e">
        <f t="shared" si="0"/>
        <v>#N/A</v>
      </c>
      <c r="G6" s="294" t="e">
        <f>IF($E6=1,GRUPB!$B8-GRUPB!$D8,0)</f>
        <v>#N/A</v>
      </c>
      <c r="H6" s="294" t="e">
        <f>IF($E6=1,GRUPB!$D8,0)</f>
        <v>#N/A</v>
      </c>
      <c r="I6" s="287"/>
      <c r="J6" s="287"/>
      <c r="K6" s="290"/>
      <c r="L6" s="402"/>
      <c r="M6" s="402"/>
      <c r="N6" s="291"/>
      <c r="O6" s="290"/>
      <c r="P6" s="290"/>
      <c r="Q6" s="290"/>
      <c r="R6" s="290"/>
      <c r="S6" s="290"/>
      <c r="T6" s="290"/>
      <c r="U6" s="292"/>
      <c r="V6" s="290"/>
      <c r="W6" s="290"/>
      <c r="X6" s="290"/>
    </row>
    <row r="7" spans="1:24" x14ac:dyDescent="0.2">
      <c r="A7" s="293">
        <f>IF(OR(ISBLANK(GRUPB!$B9),ISBLANK(GRUPB!$D9)),0,1)</f>
        <v>0</v>
      </c>
      <c r="B7" s="293">
        <f>IF(AND($A7=1,GRUPB!$B9&gt;GRUPB!$D9),1,0)</f>
        <v>0</v>
      </c>
      <c r="C7" s="293">
        <f>IF(AND($A7=1,GRUPB!$B9=GRUPB!$D9),1,0)</f>
        <v>0</v>
      </c>
      <c r="D7" s="293">
        <f>IF(AND($A7=1,GRUPB!$B9&lt;GRUPB!$D9),1,0)</f>
        <v>0</v>
      </c>
      <c r="E7" s="293" t="e">
        <f>IF(VLOOKUP(GRUPB!$A9,$N$2:$U$19,8,FALSE)=VLOOKUP(GRUPB!$E9,$N$2:$U$19,8,FALSE),1,0)</f>
        <v>#N/A</v>
      </c>
      <c r="F7" s="294" t="e">
        <f t="shared" si="0"/>
        <v>#N/A</v>
      </c>
      <c r="G7" s="294" t="e">
        <f>IF($E7=1,GRUPB!$B9-GRUPB!$D9,0)</f>
        <v>#N/A</v>
      </c>
      <c r="H7" s="294" t="e">
        <f>IF($E7=1,GRUPB!$D9,0)</f>
        <v>#N/A</v>
      </c>
      <c r="I7" s="287"/>
      <c r="J7" s="287"/>
      <c r="K7" s="290"/>
      <c r="L7" s="402"/>
      <c r="M7" s="402"/>
      <c r="N7" s="291"/>
      <c r="O7" s="290"/>
      <c r="P7" s="290"/>
      <c r="Q7" s="290"/>
      <c r="R7" s="290"/>
      <c r="S7" s="290"/>
      <c r="T7" s="290"/>
      <c r="U7" s="292"/>
      <c r="V7" s="290"/>
      <c r="W7" s="290"/>
      <c r="X7" s="290"/>
    </row>
    <row r="8" spans="1:24" x14ac:dyDescent="0.2">
      <c r="A8" s="293">
        <f>IF(OR(ISBLANK(GRUPB!$B10),ISBLANK(GRUPB!$D10)),0,1)</f>
        <v>0</v>
      </c>
      <c r="B8" s="293">
        <f>IF(AND($A8=1,GRUPB!$B10&gt;GRUPB!$D10),1,0)</f>
        <v>0</v>
      </c>
      <c r="C8" s="293">
        <f>IF(AND($A8=1,GRUPB!$B10=GRUPB!$D10),1,0)</f>
        <v>0</v>
      </c>
      <c r="D8" s="293">
        <f>IF(AND($A8=1,GRUPB!$B10&lt;GRUPB!$D10),1,0)</f>
        <v>0</v>
      </c>
      <c r="E8" s="293" t="e">
        <f>IF(VLOOKUP(GRUPB!$A10,$N$2:$U$19,8,FALSE)=VLOOKUP(GRUPB!$E10,$N$2:$U$19,8,FALSE),1,0)</f>
        <v>#N/A</v>
      </c>
      <c r="F8" s="294" t="e">
        <f t="shared" si="0"/>
        <v>#N/A</v>
      </c>
      <c r="G8" s="294" t="e">
        <f>IF($E8=1,GRUPB!$B10-GRUPB!$D10,0)</f>
        <v>#N/A</v>
      </c>
      <c r="H8" s="294" t="e">
        <f>IF($E8=1,GRUPB!$D10,0)</f>
        <v>#N/A</v>
      </c>
      <c r="I8" s="287"/>
      <c r="J8" s="287"/>
      <c r="K8" s="290"/>
      <c r="L8" s="402"/>
      <c r="M8" s="402"/>
      <c r="N8" s="291"/>
      <c r="O8" s="290"/>
      <c r="P8" s="290"/>
      <c r="Q8" s="290"/>
      <c r="R8" s="290"/>
      <c r="S8" s="290"/>
      <c r="T8" s="290"/>
      <c r="U8" s="292"/>
      <c r="V8" s="290"/>
      <c r="W8" s="290"/>
      <c r="X8" s="290"/>
    </row>
    <row r="9" spans="1:24" x14ac:dyDescent="0.2">
      <c r="A9" s="293">
        <f>IF(OR(ISBLANK(GRUPB!$B11),ISBLANK(GRUPB!$D11)),0,1)</f>
        <v>0</v>
      </c>
      <c r="B9" s="293">
        <f>IF(AND($A9=1,GRUPB!$B11&gt;GRUPB!$D11),1,0)</f>
        <v>0</v>
      </c>
      <c r="C9" s="293">
        <f>IF(AND($A9=1,GRUPB!$B11=GRUPB!$D11),1,0)</f>
        <v>0</v>
      </c>
      <c r="D9" s="293">
        <f>IF(AND($A9=1,GRUPB!$B11&lt;GRUPB!$D11),1,0)</f>
        <v>0</v>
      </c>
      <c r="E9" s="293" t="e">
        <f>IF(VLOOKUP(GRUPB!$A11,$N$2:$U$19,8,FALSE)=VLOOKUP(GRUPB!$E11,$N$2:$U$19,8,FALSE),1,0)</f>
        <v>#N/A</v>
      </c>
      <c r="F9" s="294" t="e">
        <f t="shared" si="0"/>
        <v>#N/A</v>
      </c>
      <c r="G9" s="294" t="e">
        <f>IF($E9=1,GRUPB!$B11-GRUPB!$D11,0)</f>
        <v>#N/A</v>
      </c>
      <c r="H9" s="294" t="e">
        <f>IF($E9=1,GRUPB!$D11,0)</f>
        <v>#N/A</v>
      </c>
      <c r="I9" s="287"/>
      <c r="J9" s="287"/>
      <c r="K9" s="290"/>
      <c r="L9" s="402"/>
      <c r="M9" s="402"/>
      <c r="N9" s="291"/>
      <c r="O9" s="290"/>
      <c r="P9" s="290"/>
      <c r="Q9" s="290"/>
      <c r="R9" s="290"/>
      <c r="S9" s="290"/>
      <c r="T9" s="290"/>
      <c r="U9" s="292"/>
      <c r="V9" s="290"/>
      <c r="W9" s="290"/>
      <c r="X9" s="290"/>
    </row>
    <row r="10" spans="1:24" x14ac:dyDescent="0.2">
      <c r="A10" s="293">
        <f>IF(OR(ISBLANK(GRUPB!$B12),ISBLANK(GRUPB!$D12)),0,1)</f>
        <v>0</v>
      </c>
      <c r="B10" s="293">
        <f>IF(AND($A10=1,GRUPB!$B12&gt;GRUPB!$D12),1,0)</f>
        <v>0</v>
      </c>
      <c r="C10" s="293">
        <f>IF(AND($A10=1,GRUPB!$B12=GRUPB!$D12),1,0)</f>
        <v>0</v>
      </c>
      <c r="D10" s="293">
        <f>IF(AND($A10=1,GRUPB!$B12&lt;GRUPB!$D12),1,0)</f>
        <v>0</v>
      </c>
      <c r="E10" s="293" t="e">
        <f>IF(VLOOKUP(GRUPB!$A12,$N$2:$U$19,8,FALSE)=VLOOKUP(GRUPB!$E12,$N$2:$U$19,8,FALSE),1,0)</f>
        <v>#N/A</v>
      </c>
      <c r="F10" s="294" t="e">
        <f t="shared" si="0"/>
        <v>#N/A</v>
      </c>
      <c r="G10" s="294" t="e">
        <f>IF($E10=1,GRUPB!$B12-GRUPB!$D12,0)</f>
        <v>#N/A</v>
      </c>
      <c r="H10" s="294" t="e">
        <f>IF($E10=1,GRUPB!$D12,0)</f>
        <v>#N/A</v>
      </c>
      <c r="I10" s="287"/>
      <c r="J10" s="287"/>
      <c r="K10" s="290"/>
      <c r="L10" s="402"/>
      <c r="M10" s="402"/>
      <c r="N10" s="291"/>
      <c r="O10" s="290"/>
      <c r="P10" s="290"/>
      <c r="Q10" s="290"/>
      <c r="R10" s="290"/>
      <c r="S10" s="290"/>
      <c r="T10" s="290"/>
      <c r="U10" s="292"/>
      <c r="V10" s="290"/>
      <c r="W10" s="290"/>
      <c r="X10" s="290"/>
    </row>
    <row r="11" spans="1:24" x14ac:dyDescent="0.2">
      <c r="A11" s="293">
        <f>IF(OR(ISBLANK(GRUPB!$B13),ISBLANK(GRUPB!$D13)),0,1)</f>
        <v>0</v>
      </c>
      <c r="B11" s="293">
        <f>IF(AND($A11=1,GRUPB!$B13&gt;GRUPB!$D13),1,0)</f>
        <v>0</v>
      </c>
      <c r="C11" s="293">
        <f>IF(AND($A11=1,GRUPB!$B13=GRUPB!$D13),1,0)</f>
        <v>0</v>
      </c>
      <c r="D11" s="293">
        <f>IF(AND($A11=1,GRUPB!$B13&lt;GRUPB!$D13),1,0)</f>
        <v>0</v>
      </c>
      <c r="E11" s="293" t="e">
        <f>IF(VLOOKUP(GRUPB!$A13,$N$2:$U$19,8,FALSE)=VLOOKUP(GRUPB!$E13,$N$2:$U$19,8,FALSE),1,0)</f>
        <v>#N/A</v>
      </c>
      <c r="F11" s="294" t="e">
        <f t="shared" si="0"/>
        <v>#N/A</v>
      </c>
      <c r="G11" s="294" t="e">
        <f>IF($E11=1,GRUPB!$B13-GRUPB!$D13,0)</f>
        <v>#N/A</v>
      </c>
      <c r="H11" s="294" t="e">
        <f>IF($E11=1,GRUPB!$D13,0)</f>
        <v>#N/A</v>
      </c>
      <c r="I11" s="287"/>
      <c r="J11" s="287"/>
      <c r="K11" s="290"/>
      <c r="L11" s="402"/>
      <c r="M11" s="402"/>
      <c r="N11" s="291"/>
      <c r="O11" s="290"/>
      <c r="P11" s="290"/>
      <c r="Q11" s="290"/>
      <c r="R11" s="290"/>
      <c r="S11" s="290"/>
      <c r="T11" s="290"/>
      <c r="U11" s="292"/>
      <c r="V11" s="290"/>
      <c r="W11" s="290"/>
      <c r="X11" s="290"/>
    </row>
    <row r="12" spans="1:24" x14ac:dyDescent="0.2">
      <c r="A12" s="293"/>
      <c r="B12" s="293"/>
      <c r="C12" s="293"/>
      <c r="D12" s="293"/>
      <c r="E12" s="293"/>
      <c r="F12" s="294"/>
      <c r="G12" s="294"/>
      <c r="H12" s="294"/>
      <c r="I12" s="287"/>
      <c r="J12" s="287"/>
      <c r="K12" s="290"/>
      <c r="L12" s="402"/>
      <c r="M12" s="402"/>
      <c r="N12" s="291"/>
      <c r="O12" s="290"/>
      <c r="P12" s="290"/>
      <c r="Q12" s="290"/>
      <c r="R12" s="290"/>
      <c r="S12" s="290"/>
      <c r="T12" s="290"/>
      <c r="U12" s="292"/>
      <c r="V12" s="290"/>
      <c r="W12" s="290"/>
      <c r="X12" s="290"/>
    </row>
    <row r="13" spans="1:24" x14ac:dyDescent="0.2">
      <c r="A13" s="293"/>
      <c r="B13" s="293"/>
      <c r="C13" s="293"/>
      <c r="D13" s="293"/>
      <c r="E13" s="293"/>
      <c r="F13" s="294"/>
      <c r="G13" s="294"/>
      <c r="H13" s="294"/>
      <c r="I13" s="287"/>
      <c r="J13" s="287"/>
      <c r="K13" s="290"/>
      <c r="L13" s="402"/>
      <c r="M13" s="402"/>
      <c r="N13" s="291"/>
      <c r="O13" s="290"/>
      <c r="P13" s="290"/>
      <c r="Q13" s="290"/>
      <c r="R13" s="290"/>
      <c r="S13" s="290"/>
      <c r="T13" s="290"/>
      <c r="U13" s="292"/>
      <c r="V13" s="290"/>
      <c r="W13" s="290"/>
      <c r="X13" s="290"/>
    </row>
    <row r="14" spans="1:24" x14ac:dyDescent="0.2">
      <c r="A14" s="293">
        <f>IF(OR(ISBLANK(GRUPB!$B16),ISBLANK(GRUPB!$D16)),0,1)</f>
        <v>1</v>
      </c>
      <c r="B14" s="293">
        <f>IF(AND($A14=1,GRUPB!$B16&gt;GRUPB!$D16),1,0)</f>
        <v>1</v>
      </c>
      <c r="C14" s="293">
        <f>IF(AND($A14=1,GRUPB!$B16=GRUPB!$D16),1,0)</f>
        <v>0</v>
      </c>
      <c r="D14" s="293">
        <f>IF(AND($A14=1,GRUPB!$B16&lt;GRUPB!$D16),1,0)</f>
        <v>0</v>
      </c>
      <c r="E14" s="293" t="e">
        <f>IF(VLOOKUP(GRUPB!$A16,$N$2:$U$19,8,FALSE)=VLOOKUP(GRUPB!$E16,$N$2:$U$19,8,FALSE),1,0)</f>
        <v>#REF!</v>
      </c>
      <c r="F14" s="294" t="e">
        <f t="shared" ref="F14:F22" si="1">IF($E14=1,2*$B14-2*$D14,0)</f>
        <v>#REF!</v>
      </c>
      <c r="G14" s="294" t="e">
        <f>IF($E14=1,GRUPB!$B16-GRUPB!$D16,0)</f>
        <v>#REF!</v>
      </c>
      <c r="H14" s="294" t="e">
        <f>IF($E14=1,GRUPB!$D16,0)</f>
        <v>#REF!</v>
      </c>
      <c r="I14" s="287"/>
      <c r="J14" s="287"/>
      <c r="K14" s="290"/>
      <c r="L14" s="402"/>
      <c r="M14" s="402"/>
      <c r="N14" s="291"/>
      <c r="O14" s="290"/>
      <c r="P14" s="290"/>
      <c r="Q14" s="290"/>
      <c r="R14" s="290"/>
      <c r="S14" s="290"/>
      <c r="T14" s="290"/>
      <c r="U14" s="292"/>
      <c r="V14" s="290"/>
      <c r="W14" s="290"/>
      <c r="X14" s="290"/>
    </row>
    <row r="15" spans="1:24" x14ac:dyDescent="0.2">
      <c r="A15" s="293">
        <f>IF(OR(ISBLANK(GRUPB!$B17),ISBLANK(GRUPB!$D17)),0,1)</f>
        <v>1</v>
      </c>
      <c r="B15" s="293">
        <f>IF(AND($A15=1,GRUPB!$B17&gt;GRUPB!$D17),1,0)</f>
        <v>1</v>
      </c>
      <c r="C15" s="293">
        <f>IF(AND($A15=1,GRUPB!$B17=GRUPB!$D17),1,0)</f>
        <v>0</v>
      </c>
      <c r="D15" s="293">
        <f>IF(AND($A15=1,GRUPB!$B17&lt;GRUPB!$D17),1,0)</f>
        <v>0</v>
      </c>
      <c r="E15" s="293" t="e">
        <f>IF(VLOOKUP(GRUPB!$A17,$N$2:$U$19,8,FALSE)=VLOOKUP(GRUPB!$E17,$N$2:$U$19,8,FALSE),1,0)</f>
        <v>#REF!</v>
      </c>
      <c r="F15" s="294" t="e">
        <f t="shared" si="1"/>
        <v>#REF!</v>
      </c>
      <c r="G15" s="294" t="e">
        <f>IF($E15=1,GRUPB!$B17-GRUPB!$D17,0)</f>
        <v>#REF!</v>
      </c>
      <c r="H15" s="294" t="e">
        <f>IF($E15=1,GRUPB!$D17,0)</f>
        <v>#REF!</v>
      </c>
      <c r="I15" s="287"/>
      <c r="J15" s="287"/>
      <c r="K15" s="290"/>
      <c r="L15" s="402"/>
      <c r="M15" s="402"/>
      <c r="N15" s="291"/>
      <c r="O15" s="290"/>
      <c r="P15" s="290"/>
      <c r="Q15" s="290"/>
      <c r="R15" s="290"/>
      <c r="S15" s="290"/>
      <c r="T15" s="290"/>
      <c r="U15" s="292"/>
      <c r="V15" s="290"/>
      <c r="W15" s="290"/>
      <c r="X15" s="290"/>
    </row>
    <row r="16" spans="1:24" x14ac:dyDescent="0.2">
      <c r="A16" s="293">
        <f>IF(OR(ISBLANK(GRUPB!$B18),ISBLANK(GRUPB!$D18)),0,1)</f>
        <v>0</v>
      </c>
      <c r="B16" s="293">
        <f>IF(AND($A16=1,GRUPB!$B18&gt;GRUPB!$D18),1,0)</f>
        <v>0</v>
      </c>
      <c r="C16" s="293">
        <f>IF(AND($A16=1,GRUPB!$B18=GRUPB!$D18),1,0)</f>
        <v>0</v>
      </c>
      <c r="D16" s="293">
        <f>IF(AND($A16=1,GRUPB!$B18&lt;GRUPB!$D18),1,0)</f>
        <v>0</v>
      </c>
      <c r="E16" s="293" t="e">
        <f>IF(VLOOKUP(GRUPB!$A18,$N$2:$U$19,8,FALSE)=VLOOKUP(GRUPB!$E18,$N$2:$U$19,8,FALSE),1,0)</f>
        <v>#N/A</v>
      </c>
      <c r="F16" s="294" t="e">
        <f t="shared" si="1"/>
        <v>#N/A</v>
      </c>
      <c r="G16" s="294" t="e">
        <f>IF($E16=1,GRUPB!$B18-GRUPB!$D18,0)</f>
        <v>#N/A</v>
      </c>
      <c r="H16" s="294" t="e">
        <f>IF($E16=1,GRUPB!$D18,0)</f>
        <v>#N/A</v>
      </c>
      <c r="I16" s="287"/>
      <c r="J16" s="287"/>
      <c r="K16" s="290"/>
      <c r="L16" s="402"/>
      <c r="M16" s="402"/>
      <c r="N16" s="291"/>
      <c r="O16" s="290"/>
      <c r="P16" s="290"/>
      <c r="Q16" s="290"/>
      <c r="R16" s="290"/>
      <c r="S16" s="290"/>
      <c r="T16" s="290"/>
      <c r="U16" s="292"/>
      <c r="V16" s="290"/>
      <c r="W16" s="290"/>
      <c r="X16" s="290"/>
    </row>
    <row r="17" spans="1:24" x14ac:dyDescent="0.2">
      <c r="A17" s="293">
        <f>IF(OR(ISBLANK(GRUPB!$B19),ISBLANK(GRUPB!$D19)),0,1)</f>
        <v>0</v>
      </c>
      <c r="B17" s="293">
        <f>IF(AND($A17=1,GRUPB!$B19&gt;GRUPB!$D19),1,0)</f>
        <v>0</v>
      </c>
      <c r="C17" s="293">
        <f>IF(AND($A17=1,GRUPB!$B19=GRUPB!$D19),1,0)</f>
        <v>0</v>
      </c>
      <c r="D17" s="293">
        <f>IF(AND($A17=1,GRUPB!$B19&lt;GRUPB!$D19),1,0)</f>
        <v>0</v>
      </c>
      <c r="E17" s="293" t="e">
        <f>IF(VLOOKUP(GRUPB!$A19,$N$2:$U$19,8,FALSE)=VLOOKUP(GRUPB!$E19,$N$2:$U$19,8,FALSE),1,0)</f>
        <v>#N/A</v>
      </c>
      <c r="F17" s="294" t="e">
        <f t="shared" si="1"/>
        <v>#N/A</v>
      </c>
      <c r="G17" s="294" t="e">
        <f>IF($E17=1,GRUPB!$B19-GRUPB!$D19,0)</f>
        <v>#N/A</v>
      </c>
      <c r="H17" s="294" t="e">
        <f>IF($E17=1,GRUPB!$D19,0)</f>
        <v>#N/A</v>
      </c>
      <c r="I17" s="287"/>
      <c r="J17" s="287"/>
      <c r="K17" s="290"/>
      <c r="L17" s="402"/>
      <c r="M17" s="402"/>
      <c r="N17" s="291"/>
      <c r="O17" s="290"/>
      <c r="P17" s="290"/>
      <c r="Q17" s="290"/>
      <c r="R17" s="290"/>
      <c r="S17" s="290"/>
      <c r="T17" s="290"/>
      <c r="U17" s="292"/>
      <c r="V17" s="290"/>
      <c r="W17" s="290"/>
      <c r="X17" s="290"/>
    </row>
    <row r="18" spans="1:24" x14ac:dyDescent="0.2">
      <c r="A18" s="293">
        <f>IF(OR(ISBLANK(GRUPB!$B20),ISBLANK(GRUPB!$D20)),0,1)</f>
        <v>0</v>
      </c>
      <c r="B18" s="293">
        <f>IF(AND($A18=1,GRUPB!$B20&gt;GRUPB!$D20),1,0)</f>
        <v>0</v>
      </c>
      <c r="C18" s="293">
        <f>IF(AND($A18=1,GRUPB!$B20=GRUPB!$D20),1,0)</f>
        <v>0</v>
      </c>
      <c r="D18" s="293">
        <f>IF(AND($A18=1,GRUPB!$B20&lt;GRUPB!$D20),1,0)</f>
        <v>0</v>
      </c>
      <c r="E18" s="293" t="e">
        <f>IF(VLOOKUP(GRUPB!$A20,$N$2:$U$19,8,FALSE)=VLOOKUP(GRUPB!$E20,$N$2:$U$19,8,FALSE),1,0)</f>
        <v>#N/A</v>
      </c>
      <c r="F18" s="294" t="e">
        <f t="shared" si="1"/>
        <v>#N/A</v>
      </c>
      <c r="G18" s="294" t="e">
        <f>IF($E18=1,GRUPB!$B20-GRUPB!$D20,0)</f>
        <v>#N/A</v>
      </c>
      <c r="H18" s="294" t="e">
        <f>IF($E18=1,GRUPB!$D20,0)</f>
        <v>#N/A</v>
      </c>
      <c r="I18" s="287"/>
      <c r="J18" s="287"/>
      <c r="K18" s="290"/>
      <c r="L18" s="402"/>
      <c r="M18" s="402"/>
      <c r="N18" s="291"/>
      <c r="O18" s="290"/>
      <c r="P18" s="290"/>
      <c r="Q18" s="290"/>
      <c r="R18" s="290"/>
      <c r="S18" s="290"/>
      <c r="T18" s="290"/>
      <c r="U18" s="292"/>
      <c r="V18" s="290"/>
      <c r="W18" s="290"/>
      <c r="X18" s="290"/>
    </row>
    <row r="19" spans="1:24" x14ac:dyDescent="0.2">
      <c r="A19" s="293">
        <f>IF(OR(ISBLANK(GRUPB!$B21),ISBLANK(GRUPB!$D21)),0,1)</f>
        <v>0</v>
      </c>
      <c r="B19" s="293">
        <f>IF(AND($A19=1,GRUPB!$B21&gt;GRUPB!$D21),1,0)</f>
        <v>0</v>
      </c>
      <c r="C19" s="293">
        <f>IF(AND($A19=1,GRUPB!$B21=GRUPB!$D21),1,0)</f>
        <v>0</v>
      </c>
      <c r="D19" s="293">
        <f>IF(AND($A19=1,GRUPB!$B21&lt;GRUPB!$D21),1,0)</f>
        <v>0</v>
      </c>
      <c r="E19" s="293" t="e">
        <f>IF(VLOOKUP(GRUPB!$A21,$N$2:$U$19,8,FALSE)=VLOOKUP(GRUPB!$E21,$N$2:$U$19,8,FALSE),1,0)</f>
        <v>#N/A</v>
      </c>
      <c r="F19" s="294" t="e">
        <f t="shared" si="1"/>
        <v>#N/A</v>
      </c>
      <c r="G19" s="294" t="e">
        <f>IF($E19=1,GRUPB!$B21-GRUPB!$D21,0)</f>
        <v>#N/A</v>
      </c>
      <c r="H19" s="294" t="e">
        <f>IF($E19=1,GRUPB!$D21,0)</f>
        <v>#N/A</v>
      </c>
      <c r="I19" s="287"/>
      <c r="J19" s="287"/>
      <c r="K19" s="290"/>
      <c r="L19" s="402"/>
      <c r="M19" s="402"/>
      <c r="N19" s="291"/>
      <c r="O19" s="290"/>
      <c r="P19" s="290"/>
      <c r="Q19" s="290"/>
      <c r="R19" s="290"/>
      <c r="S19" s="290"/>
      <c r="T19" s="290"/>
      <c r="U19" s="292"/>
      <c r="V19" s="290"/>
      <c r="W19" s="290"/>
      <c r="X19" s="290"/>
    </row>
    <row r="20" spans="1:24" x14ac:dyDescent="0.2">
      <c r="A20" s="293">
        <f>IF(OR(ISBLANK(GRUPB!$B22),ISBLANK(GRUPB!$D22)),0,1)</f>
        <v>0</v>
      </c>
      <c r="B20" s="293">
        <f>IF(AND($A20=1,GRUPB!$B22&gt;GRUPB!$D22),1,0)</f>
        <v>0</v>
      </c>
      <c r="C20" s="293">
        <f>IF(AND($A20=1,GRUPB!$B22=GRUPB!$D22),1,0)</f>
        <v>0</v>
      </c>
      <c r="D20" s="293">
        <f>IF(AND($A20=1,GRUPB!$B22&lt;GRUPB!$D22),1,0)</f>
        <v>0</v>
      </c>
      <c r="E20" s="293" t="e">
        <f>IF(VLOOKUP(GRUPB!$A22,$N$2:$U$19,8,FALSE)=VLOOKUP(GRUPB!$E22,$N$2:$U$19,8,FALSE),1,0)</f>
        <v>#N/A</v>
      </c>
      <c r="F20" s="294" t="e">
        <f t="shared" si="1"/>
        <v>#N/A</v>
      </c>
      <c r="G20" s="294" t="e">
        <f>IF($E20=1,GRUPB!$B22-GRUPB!$D22,0)</f>
        <v>#N/A</v>
      </c>
      <c r="H20" s="294" t="e">
        <f>IF($E20=1,GRUPB!$D22,0)</f>
        <v>#N/A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x14ac:dyDescent="0.2">
      <c r="A21" s="293">
        <f>IF(OR(ISBLANK(GRUPB!$B23),ISBLANK(GRUPB!$D23)),0,1)</f>
        <v>0</v>
      </c>
      <c r="B21" s="293">
        <f>IF(AND($A21=1,GRUPB!$B23&gt;GRUPB!$D23),1,0)</f>
        <v>0</v>
      </c>
      <c r="C21" s="293">
        <f>IF(AND($A21=1,GRUPB!$B23=GRUPB!$D23),1,0)</f>
        <v>0</v>
      </c>
      <c r="D21" s="293">
        <f>IF(AND($A21=1,GRUPB!$B23&lt;GRUPB!$D23),1,0)</f>
        <v>0</v>
      </c>
      <c r="E21" s="293" t="e">
        <f>IF(VLOOKUP(GRUPB!$A23,$N$2:$U$19,8,FALSE)=VLOOKUP(GRUPB!$E23,$N$2:$U$19,8,FALSE),1,0)</f>
        <v>#N/A</v>
      </c>
      <c r="F21" s="294" t="e">
        <f t="shared" si="1"/>
        <v>#N/A</v>
      </c>
      <c r="G21" s="294" t="e">
        <f>IF($E21=1,GRUPB!$B23-GRUPB!$D23,0)</f>
        <v>#N/A</v>
      </c>
      <c r="H21" s="294" t="e">
        <f>IF($E21=1,GRUPB!$D23,0)</f>
        <v>#N/A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x14ac:dyDescent="0.2">
      <c r="A22" s="293">
        <f>IF(OR(ISBLANK(GRUPB!$B24),ISBLANK(GRUPB!$D24)),0,1)</f>
        <v>0</v>
      </c>
      <c r="B22" s="293">
        <f>IF(AND($A22=1,GRUPB!$B24&gt;GRUPB!$D24),1,0)</f>
        <v>0</v>
      </c>
      <c r="C22" s="293">
        <f>IF(AND($A22=1,GRUPB!$B24=GRUPB!$D24),1,0)</f>
        <v>0</v>
      </c>
      <c r="D22" s="293">
        <f>IF(AND($A22=1,GRUPB!$B24&lt;GRUPB!$D24),1,0)</f>
        <v>0</v>
      </c>
      <c r="E22" s="293" t="e">
        <f>IF(VLOOKUP(GRUPB!$A24,$N$2:$U$19,8,FALSE)=VLOOKUP(GRUPB!$E24,$N$2:$U$19,8,FALSE),1,0)</f>
        <v>#N/A</v>
      </c>
      <c r="F22" s="294" t="e">
        <f t="shared" si="1"/>
        <v>#N/A</v>
      </c>
      <c r="G22" s="294" t="e">
        <f>IF($E22=1,GRUPB!$B24-GRUPB!$D24,0)</f>
        <v>#N/A</v>
      </c>
      <c r="H22" s="294" t="e">
        <f>IF($E22=1,GRUPB!$D24,0)</f>
        <v>#N/A</v>
      </c>
      <c r="I22" s="287"/>
      <c r="J22" s="287"/>
      <c r="K22" s="287"/>
      <c r="L22" s="287"/>
      <c r="M22" s="287"/>
      <c r="N22" s="295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x14ac:dyDescent="0.2">
      <c r="A23" s="293"/>
      <c r="B23" s="293"/>
      <c r="C23" s="293"/>
      <c r="D23" s="293"/>
      <c r="E23" s="293"/>
      <c r="F23" s="294"/>
      <c r="G23" s="294"/>
      <c r="H23" s="294"/>
      <c r="I23" s="287"/>
      <c r="J23" s="287"/>
      <c r="K23" s="287"/>
      <c r="L23" s="287"/>
      <c r="M23" s="287"/>
      <c r="N23" s="296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x14ac:dyDescent="0.2">
      <c r="A24" s="293"/>
      <c r="B24" s="293"/>
      <c r="C24" s="293"/>
      <c r="D24" s="293"/>
      <c r="E24" s="293"/>
      <c r="F24" s="294"/>
      <c r="G24" s="294"/>
      <c r="H24" s="294"/>
      <c r="I24" s="287"/>
      <c r="J24" s="287"/>
      <c r="K24" s="287"/>
      <c r="L24" s="287"/>
      <c r="M24" s="287"/>
      <c r="N24" s="296"/>
      <c r="O24" s="287"/>
      <c r="P24" s="287"/>
      <c r="Q24" s="287"/>
      <c r="R24" s="287"/>
      <c r="S24" s="287"/>
      <c r="T24" s="287"/>
      <c r="U24" s="287"/>
      <c r="V24" s="287"/>
      <c r="W24" s="297"/>
      <c r="X24" s="287"/>
    </row>
    <row r="25" spans="1:24" x14ac:dyDescent="0.2">
      <c r="A25" s="293">
        <f>IF(OR(ISBLANK(GRUPB!$B27),ISBLANK(GRUPB!$D27)),0,1)</f>
        <v>1</v>
      </c>
      <c r="B25" s="293">
        <f>IF(AND($A25=1,GRUPB!$B27&gt;GRUPB!$D27),1,0)</f>
        <v>0</v>
      </c>
      <c r="C25" s="293">
        <f>IF(AND($A25=1,GRUPB!$B27=GRUPB!$D27),1,0)</f>
        <v>0</v>
      </c>
      <c r="D25" s="293">
        <f>IF(AND($A25=1,GRUPB!$B27&lt;GRUPB!$D27),1,0)</f>
        <v>1</v>
      </c>
      <c r="E25" s="293" t="e">
        <f>IF(VLOOKUP(GRUPB!$A27,$N$2:$U$19,8,FALSE)=VLOOKUP(GRUPB!$E27,$N$2:$U$19,8,FALSE),1,0)</f>
        <v>#REF!</v>
      </c>
      <c r="F25" s="294" t="e">
        <f t="shared" ref="F25:F33" si="2">IF($E25=1,2*$B25-2*$D25,0)</f>
        <v>#REF!</v>
      </c>
      <c r="G25" s="294" t="e">
        <f>IF($E25=1,GRUPB!$B27-GRUPB!$D27,0)</f>
        <v>#REF!</v>
      </c>
      <c r="H25" s="294" t="e">
        <f>IF($E25=1,GRUPB!$D27,0)</f>
        <v>#REF!</v>
      </c>
      <c r="I25" s="287"/>
      <c r="J25" s="287"/>
      <c r="L25" s="298"/>
      <c r="M25" s="298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x14ac:dyDescent="0.2">
      <c r="A26" s="293">
        <f>IF(OR(ISBLANK(GRUPB!$B28),ISBLANK(GRUPB!$D28)),0,1)</f>
        <v>1</v>
      </c>
      <c r="B26" s="293">
        <f>IF(AND($A26=1,GRUPB!$B28&gt;GRUPB!$D28),1,0)</f>
        <v>1</v>
      </c>
      <c r="C26" s="293">
        <f>IF(AND($A26=1,GRUPB!$B28=GRUPB!$D28),1,0)</f>
        <v>0</v>
      </c>
      <c r="D26" s="293">
        <f>IF(AND($A26=1,GRUPB!$B28&lt;GRUPB!$D28),1,0)</f>
        <v>0</v>
      </c>
      <c r="E26" s="293" t="e">
        <f>IF(VLOOKUP(GRUPB!$A28,$N$2:$U$19,8,FALSE)=VLOOKUP(GRUPB!$E28,$N$2:$U$19,8,FALSE),1,0)</f>
        <v>#REF!</v>
      </c>
      <c r="F26" s="294" t="e">
        <f t="shared" si="2"/>
        <v>#REF!</v>
      </c>
      <c r="G26" s="294" t="e">
        <f>IF($E26=1,GRUPB!$B28-GRUPB!$D28,0)</f>
        <v>#REF!</v>
      </c>
      <c r="H26" s="294" t="e">
        <f>IF($E26=1,GRUPB!$D28,0)</f>
        <v>#REF!</v>
      </c>
      <c r="I26" s="287"/>
      <c r="J26" s="287"/>
      <c r="K26" s="298"/>
      <c r="L26" s="298"/>
      <c r="M26" s="298"/>
      <c r="N26" s="299"/>
      <c r="O26" s="287"/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x14ac:dyDescent="0.2">
      <c r="A27" s="293">
        <f>IF(OR(ISBLANK(GRUPB!$B29),ISBLANK(GRUPB!$D29)),0,1)</f>
        <v>0</v>
      </c>
      <c r="B27" s="293">
        <f>IF(AND($A27=1,GRUPB!$B29&gt;GRUPB!$D29),1,0)</f>
        <v>0</v>
      </c>
      <c r="C27" s="293">
        <f>IF(AND($A27=1,GRUPB!$B29=GRUPB!$D29),1,0)</f>
        <v>0</v>
      </c>
      <c r="D27" s="293">
        <f>IF(AND($A27=1,GRUPB!$B29&lt;GRUPB!$D29),1,0)</f>
        <v>0</v>
      </c>
      <c r="E27" s="293" t="e">
        <f>IF(VLOOKUP(GRUPB!$A29,$N$2:$U$19,8,FALSE)=VLOOKUP(GRUPB!$E29,$N$2:$U$19,8,FALSE),1,0)</f>
        <v>#N/A</v>
      </c>
      <c r="F27" s="294" t="e">
        <f t="shared" si="2"/>
        <v>#N/A</v>
      </c>
      <c r="G27" s="294" t="e">
        <f>IF($E27=1,GRUPB!$B29-GRUPB!$D29,0)</f>
        <v>#N/A</v>
      </c>
      <c r="H27" s="294" t="e">
        <f>IF($E27=1,GRUPB!$D29,0)</f>
        <v>#N/A</v>
      </c>
      <c r="I27" s="287"/>
      <c r="J27" s="287"/>
      <c r="K27" s="298"/>
      <c r="L27" s="298"/>
      <c r="M27" s="298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x14ac:dyDescent="0.2">
      <c r="A28" s="293">
        <f>IF(OR(ISBLANK(GRUPB!#REF!),ISBLANK(GRUPB!#REF!)),0,1)</f>
        <v>1</v>
      </c>
      <c r="B28" s="293" t="e">
        <f>IF(AND($A28=1,GRUPB!#REF!&gt;GRUPB!#REF!),1,0)</f>
        <v>#REF!</v>
      </c>
      <c r="C28" s="293" t="e">
        <f>IF(AND($A28=1,GRUPB!#REF!=GRUPB!#REF!),1,0)</f>
        <v>#REF!</v>
      </c>
      <c r="D28" s="293" t="e">
        <f>IF(AND($A28=1,GRUPB!#REF!&lt;GRUPB!#REF!),1,0)</f>
        <v>#REF!</v>
      </c>
      <c r="E28" s="293" t="e">
        <f>IF(VLOOKUP(GRUPB!#REF!,$N$2:$U$19,8,FALSE)=VLOOKUP(GRUPB!#REF!,$N$2:$U$19,8,FALSE),1,0)</f>
        <v>#REF!</v>
      </c>
      <c r="F28" s="294" t="e">
        <f t="shared" si="2"/>
        <v>#REF!</v>
      </c>
      <c r="G28" s="294" t="e">
        <f>IF($E28=1,GRUPB!#REF!-GRUPB!#REF!,0)</f>
        <v>#REF!</v>
      </c>
      <c r="H28" s="294" t="e">
        <f>IF($E28=1,GRUPB!#REF!,0)</f>
        <v>#REF!</v>
      </c>
      <c r="I28" s="287"/>
      <c r="J28" s="287"/>
      <c r="K28" s="298"/>
      <c r="L28" s="298"/>
      <c r="M28" s="298"/>
      <c r="O28" s="287"/>
      <c r="P28" s="287"/>
      <c r="Q28" s="287"/>
      <c r="R28" s="287"/>
      <c r="S28" s="287"/>
      <c r="T28" s="287"/>
      <c r="U28" s="287"/>
      <c r="V28" s="287"/>
      <c r="W28" s="297"/>
      <c r="X28" s="287"/>
    </row>
    <row r="29" spans="1:24" x14ac:dyDescent="0.2">
      <c r="A29" s="293">
        <f>IF(OR(ISBLANK(GRUPB!#REF!),ISBLANK(GRUPB!#REF!)),0,1)</f>
        <v>1</v>
      </c>
      <c r="B29" s="293" t="e">
        <f>IF(AND($A29=1,GRUPB!#REF!&gt;GRUPB!#REF!),1,0)</f>
        <v>#REF!</v>
      </c>
      <c r="C29" s="293" t="e">
        <f>IF(AND($A29=1,GRUPB!#REF!=GRUPB!#REF!),1,0)</f>
        <v>#REF!</v>
      </c>
      <c r="D29" s="293" t="e">
        <f>IF(AND($A29=1,GRUPB!#REF!&lt;GRUPB!#REF!),1,0)</f>
        <v>#REF!</v>
      </c>
      <c r="E29" s="293" t="e">
        <f>IF(VLOOKUP(GRUPB!#REF!,$N$2:$U$19,8,FALSE)=VLOOKUP(GRUPB!#REF!,$N$2:$U$19,8,FALSE),1,0)</f>
        <v>#REF!</v>
      </c>
      <c r="F29" s="294" t="e">
        <f t="shared" si="2"/>
        <v>#REF!</v>
      </c>
      <c r="G29" s="294" t="e">
        <f>IF($E29=1,GRUPB!#REF!-GRUPB!#REF!,0)</f>
        <v>#REF!</v>
      </c>
      <c r="H29" s="294" t="e">
        <f>IF($E29=1,GRUPB!#REF!,0)</f>
        <v>#REF!</v>
      </c>
      <c r="I29" s="287"/>
      <c r="J29" s="287"/>
      <c r="K29" s="298"/>
      <c r="L29" s="298"/>
      <c r="M29" s="298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x14ac:dyDescent="0.2">
      <c r="A30" s="293">
        <f>IF(OR(ISBLANK(GRUPB!#REF!),ISBLANK(GRUPB!#REF!)),0,1)</f>
        <v>1</v>
      </c>
      <c r="B30" s="293" t="e">
        <f>IF(AND($A30=1,GRUPB!#REF!&gt;GRUPB!#REF!),1,0)</f>
        <v>#REF!</v>
      </c>
      <c r="C30" s="293" t="e">
        <f>IF(AND($A30=1,GRUPB!#REF!=GRUPB!#REF!),1,0)</f>
        <v>#REF!</v>
      </c>
      <c r="D30" s="293" t="e">
        <f>IF(AND($A30=1,GRUPB!#REF!&lt;GRUPB!#REF!),1,0)</f>
        <v>#REF!</v>
      </c>
      <c r="E30" s="293" t="e">
        <f>IF(VLOOKUP(GRUPB!#REF!,$N$2:$U$19,8,FALSE)=VLOOKUP(GRUPB!#REF!,$N$2:$U$19,8,FALSE),1,0)</f>
        <v>#REF!</v>
      </c>
      <c r="F30" s="294" t="e">
        <f t="shared" si="2"/>
        <v>#REF!</v>
      </c>
      <c r="G30" s="294" t="e">
        <f>IF($E30=1,GRUPB!#REF!-GRUPB!#REF!,0)</f>
        <v>#REF!</v>
      </c>
      <c r="H30" s="294" t="e">
        <f>IF($E30=1,GRUPB!#REF!,0)</f>
        <v>#REF!</v>
      </c>
      <c r="I30" s="287"/>
      <c r="J30" s="287"/>
      <c r="K30" s="298"/>
      <c r="L30" s="298"/>
      <c r="M30" s="298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x14ac:dyDescent="0.2">
      <c r="A31" s="293">
        <f>IF(OR(ISBLANK(GRUPB!#REF!),ISBLANK(GRUPB!#REF!)),0,1)</f>
        <v>1</v>
      </c>
      <c r="B31" s="293" t="e">
        <f>IF(AND($A31=1,GRUPB!#REF!&gt;GRUPB!#REF!),1,0)</f>
        <v>#REF!</v>
      </c>
      <c r="C31" s="293" t="e">
        <f>IF(AND($A31=1,GRUPB!#REF!=GRUPB!#REF!),1,0)</f>
        <v>#REF!</v>
      </c>
      <c r="D31" s="293" t="e">
        <f>IF(AND($A31=1,GRUPB!#REF!&lt;GRUPB!#REF!),1,0)</f>
        <v>#REF!</v>
      </c>
      <c r="E31" s="293" t="e">
        <f>IF(VLOOKUP(GRUPB!#REF!,$N$2:$U$19,8,FALSE)=VLOOKUP(GRUPB!#REF!,$N$2:$U$19,8,FALSE),1,0)</f>
        <v>#REF!</v>
      </c>
      <c r="F31" s="294" t="e">
        <f t="shared" si="2"/>
        <v>#REF!</v>
      </c>
      <c r="G31" s="294" t="e">
        <f>IF($E31=1,GRUPB!#REF!-GRUPB!#REF!,0)</f>
        <v>#REF!</v>
      </c>
      <c r="H31" s="294" t="e">
        <f>IF($E31=1,GRUPB!#REF!,0)</f>
        <v>#REF!</v>
      </c>
      <c r="I31" s="287"/>
      <c r="J31" s="287"/>
      <c r="K31" s="298"/>
      <c r="L31" s="298"/>
      <c r="M31" s="298"/>
      <c r="N31" s="299"/>
      <c r="O31" s="287"/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x14ac:dyDescent="0.2">
      <c r="A32" s="293">
        <f>IF(OR(ISBLANK(GRUPB!#REF!),ISBLANK(GRUPB!#REF!)),0,1)</f>
        <v>1</v>
      </c>
      <c r="B32" s="293" t="e">
        <f>IF(AND($A32=1,GRUPB!#REF!&gt;GRUPB!#REF!),1,0)</f>
        <v>#REF!</v>
      </c>
      <c r="C32" s="293" t="e">
        <f>IF(AND($A32=1,GRUPB!#REF!=GRUPB!#REF!),1,0)</f>
        <v>#REF!</v>
      </c>
      <c r="D32" s="293" t="e">
        <f>IF(AND($A32=1,GRUPB!#REF!&lt;GRUPB!#REF!),1,0)</f>
        <v>#REF!</v>
      </c>
      <c r="E32" s="293" t="e">
        <f>IF(VLOOKUP(GRUPB!#REF!,$N$2:$U$19,8,FALSE)=VLOOKUP(GRUPB!#REF!,$N$2:$U$19,8,FALSE),1,0)</f>
        <v>#REF!</v>
      </c>
      <c r="F32" s="294" t="e">
        <f t="shared" si="2"/>
        <v>#REF!</v>
      </c>
      <c r="G32" s="294" t="e">
        <f>IF($E32=1,GRUPB!#REF!-GRUPB!#REF!,0)</f>
        <v>#REF!</v>
      </c>
      <c r="H32" s="294" t="e">
        <f>IF($E32=1,GRUPB!#REF!,0)</f>
        <v>#REF!</v>
      </c>
      <c r="I32" s="287"/>
      <c r="J32" s="287"/>
      <c r="K32" s="299"/>
      <c r="L32" s="298"/>
      <c r="M32" s="298"/>
      <c r="N32" s="299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4" x14ac:dyDescent="0.2">
      <c r="A33" s="293">
        <f>IF(OR(ISBLANK(GRUPB!#REF!),ISBLANK(GRUPB!#REF!)),0,1)</f>
        <v>1</v>
      </c>
      <c r="B33" s="293" t="e">
        <f>IF(AND($A33=1,GRUPB!#REF!&gt;GRUPB!#REF!),1,0)</f>
        <v>#REF!</v>
      </c>
      <c r="C33" s="293" t="e">
        <f>IF(AND($A33=1,GRUPB!#REF!=GRUPB!#REF!),1,0)</f>
        <v>#REF!</v>
      </c>
      <c r="D33" s="293" t="e">
        <f>IF(AND($A33=1,GRUPB!#REF!&lt;GRUPB!#REF!),1,0)</f>
        <v>#REF!</v>
      </c>
      <c r="E33" s="293" t="e">
        <f>IF(VLOOKUP(GRUPB!#REF!,$N$2:$U$19,8,FALSE)=VLOOKUP(GRUPB!#REF!,$N$2:$U$19,8,FALSE),1,0)</f>
        <v>#REF!</v>
      </c>
      <c r="F33" s="294" t="e">
        <f t="shared" si="2"/>
        <v>#REF!</v>
      </c>
      <c r="G33" s="294" t="e">
        <f>IF($E33=1,GRUPB!#REF!-GRUPB!#REF!,0)</f>
        <v>#REF!</v>
      </c>
      <c r="H33" s="294" t="e">
        <f>IF($E33=1,GRUPB!#REF!,0)</f>
        <v>#REF!</v>
      </c>
      <c r="I33" s="287"/>
      <c r="J33" s="287"/>
      <c r="K33" s="298"/>
      <c r="L33" s="298"/>
      <c r="M33" s="298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x14ac:dyDescent="0.2">
      <c r="A34" s="293"/>
      <c r="B34" s="293"/>
      <c r="C34" s="293"/>
      <c r="D34" s="293"/>
      <c r="E34" s="293"/>
      <c r="F34" s="294"/>
      <c r="G34" s="294"/>
      <c r="H34" s="294"/>
      <c r="I34" s="287"/>
      <c r="J34" s="287"/>
      <c r="K34" s="299"/>
      <c r="L34" s="287"/>
      <c r="M34" s="287"/>
      <c r="N34" s="295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1:24" x14ac:dyDescent="0.2">
      <c r="A35" s="293"/>
      <c r="B35" s="293"/>
      <c r="C35" s="293"/>
      <c r="D35" s="293"/>
      <c r="E35" s="293"/>
      <c r="F35" s="294"/>
      <c r="G35" s="294"/>
      <c r="H35" s="294"/>
      <c r="I35" s="287"/>
      <c r="J35" s="287"/>
      <c r="K35" s="299"/>
      <c r="L35" s="287"/>
      <c r="M35" s="287"/>
      <c r="N35" s="296"/>
      <c r="O35" s="287"/>
      <c r="P35" s="287"/>
      <c r="Q35" s="287"/>
      <c r="R35" s="287"/>
      <c r="S35" s="287"/>
      <c r="T35" s="287"/>
      <c r="U35" s="287"/>
      <c r="V35" s="287"/>
      <c r="W35" s="287"/>
      <c r="X35" s="287"/>
    </row>
    <row r="36" spans="1:24" x14ac:dyDescent="0.2">
      <c r="A36" s="293">
        <f>IF(OR(ISBLANK(GRUPB!#REF!),ISBLANK(GRUPB!#REF!)),0,1)</f>
        <v>1</v>
      </c>
      <c r="B36" s="293" t="e">
        <f>IF(AND($A36=1,GRUPB!#REF!&gt;GRUPB!#REF!),1,0)</f>
        <v>#REF!</v>
      </c>
      <c r="C36" s="293" t="e">
        <f>IF(AND($A36=1,GRUPB!#REF!=GRUPB!#REF!),1,0)</f>
        <v>#REF!</v>
      </c>
      <c r="D36" s="293" t="e">
        <f>IF(AND($A36=1,GRUPB!#REF!&lt;GRUPB!#REF!),1,0)</f>
        <v>#REF!</v>
      </c>
      <c r="E36" s="293" t="e">
        <f>IF(VLOOKUP(GRUPB!#REF!,$N$2:$U$19,8,FALSE)=VLOOKUP(GRUPB!#REF!,$N$2:$U$19,8,FALSE),1,0)</f>
        <v>#REF!</v>
      </c>
      <c r="F36" s="294" t="e">
        <f t="shared" ref="F36:F44" si="3">IF($E36=1,2*$B36-2*$D36,0)</f>
        <v>#REF!</v>
      </c>
      <c r="G36" s="294" t="e">
        <f>IF($E36=1,GRUPB!#REF!-GRUPB!#REF!,0)</f>
        <v>#REF!</v>
      </c>
      <c r="H36" s="294" t="e">
        <f>IF($E36=1,GRUPB!#REF!,0)</f>
        <v>#REF!</v>
      </c>
      <c r="I36" s="287"/>
      <c r="J36" s="287"/>
      <c r="K36" s="298"/>
      <c r="L36" s="287"/>
      <c r="M36" s="287"/>
      <c r="N36" s="296"/>
      <c r="O36" s="287"/>
      <c r="P36" s="287"/>
      <c r="Q36" s="287"/>
      <c r="R36" s="287"/>
      <c r="S36" s="287"/>
      <c r="T36" s="287"/>
      <c r="U36" s="287"/>
      <c r="V36" s="287"/>
      <c r="W36" s="287"/>
      <c r="X36" s="287"/>
    </row>
    <row r="37" spans="1:24" x14ac:dyDescent="0.2">
      <c r="A37" s="293">
        <f>IF(OR(ISBLANK(GRUPB!#REF!),ISBLANK(GRUPB!#REF!)),0,1)</f>
        <v>1</v>
      </c>
      <c r="B37" s="293" t="e">
        <f>IF(AND($A37=1,GRUPB!#REF!&gt;GRUPB!#REF!),1,0)</f>
        <v>#REF!</v>
      </c>
      <c r="C37" s="293" t="e">
        <f>IF(AND($A37=1,GRUPB!#REF!=GRUPB!#REF!),1,0)</f>
        <v>#REF!</v>
      </c>
      <c r="D37" s="293" t="e">
        <f>IF(AND($A37=1,GRUPB!#REF!&lt;GRUPB!#REF!),1,0)</f>
        <v>#REF!</v>
      </c>
      <c r="E37" s="293" t="e">
        <f>IF(VLOOKUP(GRUPB!#REF!,$N$2:$U$19,8,FALSE)=VLOOKUP(GRUPB!#REF!,$N$2:$U$19,8,FALSE),1,0)</f>
        <v>#REF!</v>
      </c>
      <c r="F37" s="294" t="e">
        <f t="shared" si="3"/>
        <v>#REF!</v>
      </c>
      <c r="G37" s="294" t="e">
        <f>IF($E37=1,GRUPB!#REF!-GRUPB!#REF!,0)</f>
        <v>#REF!</v>
      </c>
      <c r="H37" s="294" t="e">
        <f>IF($E37=1,GRUPB!#REF!,0)</f>
        <v>#REF!</v>
      </c>
      <c r="I37" s="287"/>
      <c r="J37" s="287"/>
      <c r="K37" s="299"/>
      <c r="L37" s="287"/>
      <c r="M37" s="287"/>
      <c r="N37" s="296"/>
      <c r="O37" s="287"/>
      <c r="P37" s="287"/>
      <c r="Q37" s="287"/>
      <c r="R37" s="287"/>
      <c r="S37" s="287"/>
      <c r="T37" s="287"/>
      <c r="U37" s="287"/>
      <c r="V37" s="287"/>
      <c r="W37" s="287"/>
      <c r="X37" s="287"/>
    </row>
    <row r="38" spans="1:24" x14ac:dyDescent="0.2">
      <c r="A38" s="293">
        <f>IF(OR(ISBLANK(GRUPB!#REF!),ISBLANK(GRUPB!#REF!)),0,1)</f>
        <v>1</v>
      </c>
      <c r="B38" s="293" t="e">
        <f>IF(AND($A38=1,GRUPB!#REF!&gt;GRUPB!#REF!),1,0)</f>
        <v>#REF!</v>
      </c>
      <c r="C38" s="293" t="e">
        <f>IF(AND($A38=1,GRUPB!#REF!=GRUPB!#REF!),1,0)</f>
        <v>#REF!</v>
      </c>
      <c r="D38" s="293" t="e">
        <f>IF(AND($A38=1,GRUPB!#REF!&lt;GRUPB!#REF!),1,0)</f>
        <v>#REF!</v>
      </c>
      <c r="E38" s="293" t="e">
        <f>IF(VLOOKUP(GRUPB!#REF!,$N$2:$U$19,8,FALSE)=VLOOKUP(GRUPB!#REF!,$N$2:$U$19,8,FALSE),1,0)</f>
        <v>#REF!</v>
      </c>
      <c r="F38" s="294" t="e">
        <f t="shared" si="3"/>
        <v>#REF!</v>
      </c>
      <c r="G38" s="294" t="e">
        <f>IF($E38=1,GRUPB!#REF!-GRUPB!#REF!,0)</f>
        <v>#REF!</v>
      </c>
      <c r="H38" s="294" t="e">
        <f>IF($E38=1,GRUPB!#REF!,0)</f>
        <v>#REF!</v>
      </c>
      <c r="I38" s="287"/>
      <c r="J38" s="287"/>
      <c r="K38" s="299"/>
      <c r="L38" s="287"/>
      <c r="M38" s="287"/>
      <c r="N38" s="296"/>
      <c r="O38" s="287"/>
      <c r="P38" s="287"/>
      <c r="Q38" s="287"/>
      <c r="R38" s="287"/>
      <c r="S38" s="287"/>
      <c r="T38" s="287"/>
      <c r="U38" s="287"/>
      <c r="V38" s="287"/>
      <c r="W38" s="287"/>
      <c r="X38" s="287"/>
    </row>
    <row r="39" spans="1:24" x14ac:dyDescent="0.2">
      <c r="A39" s="293">
        <f>IF(OR(ISBLANK(GRUPB!#REF!),ISBLANK(GRUPB!#REF!)),0,1)</f>
        <v>1</v>
      </c>
      <c r="B39" s="293" t="e">
        <f>IF(AND($A39=1,GRUPB!#REF!&gt;GRUPB!#REF!),1,0)</f>
        <v>#REF!</v>
      </c>
      <c r="C39" s="293" t="e">
        <f>IF(AND($A39=1,GRUPB!#REF!=GRUPB!#REF!),1,0)</f>
        <v>#REF!</v>
      </c>
      <c r="D39" s="293" t="e">
        <f>IF(AND($A39=1,GRUPB!#REF!&lt;GRUPB!#REF!),1,0)</f>
        <v>#REF!</v>
      </c>
      <c r="E39" s="293" t="e">
        <f>IF(VLOOKUP(GRUPB!#REF!,$N$2:$U$19,8,FALSE)=VLOOKUP(GRUPB!#REF!,$N$2:$U$19,8,FALSE),1,0)</f>
        <v>#REF!</v>
      </c>
      <c r="F39" s="294" t="e">
        <f t="shared" si="3"/>
        <v>#REF!</v>
      </c>
      <c r="G39" s="294" t="e">
        <f>IF($E39=1,GRUPB!#REF!-GRUPB!#REF!,0)</f>
        <v>#REF!</v>
      </c>
      <c r="H39" s="294" t="e">
        <f>IF($E39=1,GRUPB!#REF!,0)</f>
        <v>#REF!</v>
      </c>
      <c r="I39" s="287"/>
      <c r="J39" s="287"/>
      <c r="K39" s="299"/>
      <c r="L39" s="287"/>
      <c r="M39" s="287"/>
      <c r="N39" s="296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1:24" x14ac:dyDescent="0.2">
      <c r="A40" s="293">
        <f>IF(OR(ISBLANK(GRUPB!#REF!),ISBLANK(GRUPB!#REF!)),0,1)</f>
        <v>1</v>
      </c>
      <c r="B40" s="293" t="e">
        <f>IF(AND($A40=1,GRUPB!#REF!&gt;GRUPB!#REF!),1,0)</f>
        <v>#REF!</v>
      </c>
      <c r="C40" s="293" t="e">
        <f>IF(AND($A40=1,GRUPB!#REF!=GRUPB!#REF!),1,0)</f>
        <v>#REF!</v>
      </c>
      <c r="D40" s="293" t="e">
        <f>IF(AND($A40=1,GRUPB!#REF!&lt;GRUPB!#REF!),1,0)</f>
        <v>#REF!</v>
      </c>
      <c r="E40" s="293" t="e">
        <f>IF(VLOOKUP(GRUPB!#REF!,$N$2:$U$19,8,FALSE)=VLOOKUP(GRUPB!#REF!,$N$2:$U$19,8,FALSE),1,0)</f>
        <v>#REF!</v>
      </c>
      <c r="F40" s="294" t="e">
        <f t="shared" si="3"/>
        <v>#REF!</v>
      </c>
      <c r="G40" s="294" t="e">
        <f>IF($E40=1,GRUPB!#REF!-GRUPB!#REF!,0)</f>
        <v>#REF!</v>
      </c>
      <c r="H40" s="294" t="e">
        <f>IF($E40=1,GRUPB!#REF!,0)</f>
        <v>#REF!</v>
      </c>
      <c r="I40" s="287"/>
      <c r="J40" s="287"/>
      <c r="K40" s="287"/>
      <c r="L40" s="287"/>
      <c r="M40" s="287"/>
      <c r="N40" s="296"/>
      <c r="O40" s="287"/>
      <c r="P40" s="287"/>
      <c r="Q40" s="287"/>
      <c r="R40" s="287"/>
      <c r="S40" s="287"/>
      <c r="T40" s="287"/>
      <c r="U40" s="287"/>
      <c r="V40" s="287"/>
      <c r="W40" s="287"/>
      <c r="X40" s="287"/>
    </row>
    <row r="41" spans="1:24" x14ac:dyDescent="0.2">
      <c r="A41" s="293">
        <f>IF(OR(ISBLANK(GRUPB!#REF!),ISBLANK(GRUPB!#REF!)),0,1)</f>
        <v>1</v>
      </c>
      <c r="B41" s="293" t="e">
        <f>IF(AND($A41=1,GRUPB!#REF!&gt;GRUPB!#REF!),1,0)</f>
        <v>#REF!</v>
      </c>
      <c r="C41" s="293" t="e">
        <f>IF(AND($A41=1,GRUPB!#REF!=GRUPB!#REF!),1,0)</f>
        <v>#REF!</v>
      </c>
      <c r="D41" s="293" t="e">
        <f>IF(AND($A41=1,GRUPB!#REF!&lt;GRUPB!#REF!),1,0)</f>
        <v>#REF!</v>
      </c>
      <c r="E41" s="293" t="e">
        <f>IF(VLOOKUP(GRUPB!#REF!,$N$2:$U$19,8,FALSE)=VLOOKUP(GRUPB!#REF!,$N$2:$U$19,8,FALSE),1,0)</f>
        <v>#REF!</v>
      </c>
      <c r="F41" s="294" t="e">
        <f t="shared" si="3"/>
        <v>#REF!</v>
      </c>
      <c r="G41" s="294" t="e">
        <f>IF($E41=1,GRUPB!#REF!-GRUPB!#REF!,0)</f>
        <v>#REF!</v>
      </c>
      <c r="H41" s="294" t="e">
        <f>IF($E41=1,GRUPB!#REF!,0)</f>
        <v>#REF!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1:24" x14ac:dyDescent="0.2">
      <c r="A42" s="293">
        <f>IF(OR(ISBLANK(GRUPB!#REF!),ISBLANK(GRUPB!#REF!)),0,1)</f>
        <v>1</v>
      </c>
      <c r="B42" s="293" t="e">
        <f>IF(AND($A42=1,GRUPB!#REF!&gt;GRUPB!#REF!),1,0)</f>
        <v>#REF!</v>
      </c>
      <c r="C42" s="293" t="e">
        <f>IF(AND($A42=1,GRUPB!#REF!=GRUPB!#REF!),1,0)</f>
        <v>#REF!</v>
      </c>
      <c r="D42" s="293" t="e">
        <f>IF(AND($A42=1,GRUPB!#REF!&lt;GRUPB!#REF!),1,0)</f>
        <v>#REF!</v>
      </c>
      <c r="E42" s="293" t="e">
        <f>IF(VLOOKUP(GRUPB!#REF!,$N$2:$U$19,8,FALSE)=VLOOKUP(GRUPB!#REF!,$N$2:$U$19,8,FALSE),1,0)</f>
        <v>#REF!</v>
      </c>
      <c r="F42" s="294" t="e">
        <f t="shared" si="3"/>
        <v>#REF!</v>
      </c>
      <c r="G42" s="294" t="e">
        <f>IF($E42=1,GRUPB!#REF!-GRUPB!#REF!,0)</f>
        <v>#REF!</v>
      </c>
      <c r="H42" s="294" t="e">
        <f>IF($E42=1,GRUPB!#REF!,0)</f>
        <v>#REF!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</row>
    <row r="43" spans="1:24" x14ac:dyDescent="0.2">
      <c r="A43" s="293">
        <f>IF(OR(ISBLANK(GRUPB!#REF!),ISBLANK(GRUPB!#REF!)),0,1)</f>
        <v>1</v>
      </c>
      <c r="B43" s="293" t="e">
        <f>IF(AND($A43=1,GRUPB!#REF!&gt;GRUPB!#REF!),1,0)</f>
        <v>#REF!</v>
      </c>
      <c r="C43" s="293" t="e">
        <f>IF(AND($A43=1,GRUPB!#REF!=GRUPB!#REF!),1,0)</f>
        <v>#REF!</v>
      </c>
      <c r="D43" s="293" t="e">
        <f>IF(AND($A43=1,GRUPB!#REF!&lt;GRUPB!#REF!),1,0)</f>
        <v>#REF!</v>
      </c>
      <c r="E43" s="293" t="e">
        <f>IF(VLOOKUP(GRUPB!#REF!,$N$2:$U$19,8,FALSE)=VLOOKUP(GRUPB!#REF!,$N$2:$U$19,8,FALSE),1,0)</f>
        <v>#REF!</v>
      </c>
      <c r="F43" s="294" t="e">
        <f t="shared" si="3"/>
        <v>#REF!</v>
      </c>
      <c r="G43" s="294" t="e">
        <f>IF($E43=1,GRUPB!#REF!-GRUPB!#REF!,0)</f>
        <v>#REF!</v>
      </c>
      <c r="H43" s="294" t="e">
        <f>IF($E43=1,GRUPB!#REF!,0)</f>
        <v>#REF!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</row>
    <row r="44" spans="1:24" x14ac:dyDescent="0.2">
      <c r="A44" s="293">
        <f>IF(OR(ISBLANK(GRUPB!#REF!),ISBLANK(GRUPB!#REF!)),0,1)</f>
        <v>1</v>
      </c>
      <c r="B44" s="293" t="e">
        <f>IF(AND($A44=1,GRUPB!#REF!&gt;GRUPB!#REF!),1,0)</f>
        <v>#REF!</v>
      </c>
      <c r="C44" s="293" t="e">
        <f>IF(AND($A44=1,GRUPB!#REF!=GRUPB!#REF!),1,0)</f>
        <v>#REF!</v>
      </c>
      <c r="D44" s="293" t="e">
        <f>IF(AND($A44=1,GRUPB!#REF!&lt;GRUPB!#REF!),1,0)</f>
        <v>#REF!</v>
      </c>
      <c r="E44" s="293" t="e">
        <f>IF(VLOOKUP(GRUPB!#REF!,$N$2:$U$19,8,FALSE)=VLOOKUP(GRUPB!#REF!,$N$2:$U$19,8,FALSE),1,0)</f>
        <v>#REF!</v>
      </c>
      <c r="F44" s="294" t="e">
        <f t="shared" si="3"/>
        <v>#REF!</v>
      </c>
      <c r="G44" s="294" t="e">
        <f>IF($E44=1,GRUPB!#REF!-GRUPB!#REF!,0)</f>
        <v>#REF!</v>
      </c>
      <c r="H44" s="294" t="e">
        <f>IF($E44=1,GRUPB!#REF!,0)</f>
        <v>#REF!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</row>
    <row r="45" spans="1:24" x14ac:dyDescent="0.2">
      <c r="A45" s="293"/>
      <c r="B45" s="293"/>
      <c r="C45" s="293"/>
      <c r="D45" s="293"/>
      <c r="E45" s="293"/>
      <c r="F45" s="294"/>
      <c r="G45" s="294"/>
      <c r="H45" s="294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</row>
    <row r="46" spans="1:24" x14ac:dyDescent="0.2">
      <c r="A46" s="293"/>
      <c r="B46" s="293"/>
      <c r="C46" s="293"/>
      <c r="D46" s="293"/>
      <c r="E46" s="293"/>
      <c r="F46" s="294"/>
      <c r="G46" s="294"/>
      <c r="H46" s="294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1:24" x14ac:dyDescent="0.2">
      <c r="A47" s="293"/>
      <c r="B47" s="293"/>
      <c r="C47" s="293"/>
      <c r="D47" s="293"/>
      <c r="E47" s="293"/>
      <c r="F47" s="294"/>
      <c r="G47" s="294"/>
      <c r="H47" s="294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</row>
    <row r="48" spans="1:24" x14ac:dyDescent="0.2">
      <c r="A48" s="293"/>
      <c r="B48" s="293"/>
      <c r="C48" s="293"/>
      <c r="D48" s="293"/>
      <c r="E48" s="293"/>
      <c r="F48" s="294"/>
      <c r="G48" s="294"/>
      <c r="H48" s="294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1:24" x14ac:dyDescent="0.2">
      <c r="A49" s="293"/>
      <c r="B49" s="293"/>
      <c r="C49" s="293"/>
      <c r="D49" s="293"/>
      <c r="E49" s="293"/>
      <c r="F49" s="294"/>
      <c r="G49" s="294"/>
      <c r="H49" s="294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4" x14ac:dyDescent="0.2">
      <c r="A50" s="293"/>
      <c r="B50" s="293"/>
      <c r="C50" s="293"/>
      <c r="D50" s="293"/>
      <c r="E50" s="293"/>
      <c r="F50" s="294"/>
      <c r="G50" s="294"/>
      <c r="H50" s="294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</row>
    <row r="51" spans="1:24" x14ac:dyDescent="0.2">
      <c r="A51" s="293"/>
      <c r="B51" s="293"/>
      <c r="C51" s="293"/>
      <c r="D51" s="293"/>
      <c r="E51" s="293"/>
      <c r="F51" s="294"/>
      <c r="G51" s="294"/>
      <c r="H51" s="294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x14ac:dyDescent="0.2">
      <c r="A52" s="293"/>
      <c r="B52" s="293"/>
      <c r="C52" s="293"/>
      <c r="D52" s="293"/>
      <c r="E52" s="293"/>
      <c r="F52" s="294"/>
      <c r="G52" s="294"/>
      <c r="H52" s="294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x14ac:dyDescent="0.2">
      <c r="A53" s="293"/>
      <c r="B53" s="293"/>
      <c r="C53" s="293"/>
      <c r="D53" s="293"/>
      <c r="E53" s="293"/>
      <c r="F53" s="294"/>
      <c r="G53" s="294"/>
      <c r="H53" s="294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x14ac:dyDescent="0.2">
      <c r="A54" s="293"/>
      <c r="B54" s="293"/>
      <c r="C54" s="293"/>
      <c r="D54" s="293"/>
      <c r="E54" s="293"/>
      <c r="F54" s="294"/>
      <c r="G54" s="294"/>
      <c r="H54" s="294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x14ac:dyDescent="0.2">
      <c r="A55" s="293"/>
      <c r="B55" s="293"/>
      <c r="C55" s="293"/>
      <c r="D55" s="293"/>
      <c r="E55" s="293"/>
      <c r="F55" s="294"/>
      <c r="G55" s="294"/>
      <c r="H55" s="294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x14ac:dyDescent="0.2">
      <c r="A56" s="293"/>
      <c r="B56" s="293"/>
      <c r="C56" s="293"/>
      <c r="D56" s="293"/>
      <c r="E56" s="293"/>
      <c r="F56" s="294"/>
      <c r="G56" s="294"/>
      <c r="H56" s="294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x14ac:dyDescent="0.2">
      <c r="A57" s="293"/>
      <c r="B57" s="293"/>
      <c r="C57" s="293"/>
      <c r="D57" s="293"/>
      <c r="E57" s="293"/>
      <c r="F57" s="294"/>
      <c r="G57" s="294"/>
      <c r="H57" s="294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3"/>
      <c r="B58" s="293"/>
      <c r="C58" s="293"/>
      <c r="D58" s="293"/>
      <c r="E58" s="293"/>
      <c r="F58" s="294"/>
      <c r="G58" s="294"/>
      <c r="H58" s="294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x14ac:dyDescent="0.2">
      <c r="A59" s="293"/>
      <c r="B59" s="293"/>
      <c r="C59" s="293"/>
      <c r="D59" s="293"/>
      <c r="E59" s="293"/>
      <c r="F59" s="294"/>
      <c r="G59" s="294"/>
      <c r="H59" s="294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x14ac:dyDescent="0.2">
      <c r="A60" s="293"/>
      <c r="B60" s="293"/>
      <c r="C60" s="293"/>
      <c r="D60" s="293"/>
      <c r="E60" s="293"/>
      <c r="F60" s="294"/>
      <c r="G60" s="294"/>
      <c r="H60" s="294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x14ac:dyDescent="0.2">
      <c r="A61" s="293"/>
      <c r="B61" s="293"/>
      <c r="C61" s="293"/>
      <c r="D61" s="293"/>
      <c r="E61" s="293"/>
      <c r="F61" s="294"/>
      <c r="G61" s="294"/>
      <c r="H61" s="294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x14ac:dyDescent="0.2">
      <c r="A62" s="293"/>
      <c r="B62" s="293"/>
      <c r="C62" s="293"/>
      <c r="D62" s="293"/>
      <c r="E62" s="293"/>
      <c r="F62" s="294"/>
      <c r="G62" s="294"/>
      <c r="H62" s="294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x14ac:dyDescent="0.2">
      <c r="A63" s="293"/>
      <c r="B63" s="293"/>
      <c r="C63" s="293"/>
      <c r="D63" s="293"/>
      <c r="E63" s="293"/>
      <c r="F63" s="294"/>
      <c r="G63" s="294"/>
      <c r="H63" s="294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x14ac:dyDescent="0.2">
      <c r="A64" s="293"/>
      <c r="B64" s="293"/>
      <c r="C64" s="293"/>
      <c r="D64" s="293"/>
      <c r="E64" s="293"/>
      <c r="F64" s="294"/>
      <c r="G64" s="294"/>
      <c r="H64" s="294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x14ac:dyDescent="0.2">
      <c r="A65" s="293"/>
      <c r="B65" s="293"/>
      <c r="C65" s="293"/>
      <c r="D65" s="293"/>
      <c r="E65" s="293"/>
      <c r="F65" s="294"/>
      <c r="G65" s="294"/>
      <c r="H65" s="294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x14ac:dyDescent="0.2">
      <c r="A66" s="293"/>
      <c r="B66" s="293"/>
      <c r="C66" s="293"/>
      <c r="D66" s="293"/>
      <c r="E66" s="293"/>
      <c r="F66" s="294"/>
      <c r="G66" s="294"/>
      <c r="H66" s="294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x14ac:dyDescent="0.2">
      <c r="A67" s="293"/>
      <c r="B67" s="293"/>
      <c r="C67" s="293"/>
      <c r="D67" s="293"/>
      <c r="E67" s="293"/>
      <c r="F67" s="294"/>
      <c r="G67" s="294"/>
      <c r="H67" s="294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x14ac:dyDescent="0.2">
      <c r="A68" s="293"/>
      <c r="B68" s="293"/>
      <c r="C68" s="293"/>
      <c r="D68" s="293"/>
      <c r="E68" s="293"/>
      <c r="F68" s="294"/>
      <c r="G68" s="294"/>
      <c r="H68" s="294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x14ac:dyDescent="0.2">
      <c r="A69" s="293"/>
      <c r="B69" s="293"/>
      <c r="C69" s="293"/>
      <c r="D69" s="293"/>
      <c r="E69" s="293"/>
      <c r="F69" s="294"/>
      <c r="G69" s="294"/>
      <c r="H69" s="294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x14ac:dyDescent="0.2">
      <c r="A70" s="293"/>
      <c r="B70" s="293"/>
      <c r="C70" s="293"/>
      <c r="D70" s="293"/>
      <c r="E70" s="293"/>
      <c r="F70" s="294"/>
      <c r="G70" s="294"/>
      <c r="H70" s="294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x14ac:dyDescent="0.2">
      <c r="A71" s="293"/>
      <c r="B71" s="293"/>
      <c r="C71" s="293"/>
      <c r="D71" s="293"/>
      <c r="E71" s="293"/>
      <c r="F71" s="294"/>
      <c r="G71" s="294"/>
      <c r="H71" s="294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x14ac:dyDescent="0.2">
      <c r="A72" s="293"/>
      <c r="B72" s="293"/>
      <c r="C72" s="293"/>
      <c r="D72" s="293"/>
      <c r="E72" s="293"/>
      <c r="F72" s="294"/>
      <c r="G72" s="294"/>
      <c r="H72" s="294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x14ac:dyDescent="0.2">
      <c r="A73" s="293"/>
      <c r="B73" s="293"/>
      <c r="C73" s="293"/>
      <c r="D73" s="293"/>
      <c r="E73" s="293"/>
      <c r="F73" s="294"/>
      <c r="G73" s="294"/>
      <c r="H73" s="294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x14ac:dyDescent="0.2">
      <c r="A74" s="293"/>
      <c r="B74" s="293"/>
      <c r="C74" s="293"/>
      <c r="D74" s="293"/>
      <c r="E74" s="293"/>
      <c r="F74" s="294"/>
      <c r="G74" s="294"/>
      <c r="H74" s="294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x14ac:dyDescent="0.2">
      <c r="A75" s="293"/>
      <c r="B75" s="293"/>
      <c r="C75" s="293"/>
      <c r="D75" s="293"/>
      <c r="E75" s="293"/>
      <c r="F75" s="294"/>
      <c r="G75" s="294"/>
      <c r="H75" s="294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x14ac:dyDescent="0.2">
      <c r="A76" s="293"/>
      <c r="B76" s="293"/>
      <c r="C76" s="293"/>
      <c r="D76" s="293"/>
      <c r="E76" s="293"/>
      <c r="F76" s="294"/>
      <c r="G76" s="294"/>
      <c r="H76" s="294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x14ac:dyDescent="0.2">
      <c r="A77" s="293"/>
      <c r="B77" s="293"/>
      <c r="C77" s="293"/>
      <c r="D77" s="293"/>
      <c r="E77" s="293"/>
      <c r="F77" s="294"/>
      <c r="G77" s="294"/>
      <c r="H77" s="294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x14ac:dyDescent="0.2">
      <c r="A78" s="293"/>
      <c r="B78" s="293"/>
      <c r="C78" s="293"/>
      <c r="D78" s="293"/>
      <c r="E78" s="293"/>
      <c r="F78" s="294"/>
      <c r="G78" s="294"/>
      <c r="H78" s="294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x14ac:dyDescent="0.2">
      <c r="A79" s="293"/>
      <c r="B79" s="293"/>
      <c r="C79" s="293"/>
      <c r="D79" s="293"/>
      <c r="E79" s="293"/>
      <c r="F79" s="294"/>
      <c r="G79" s="294"/>
      <c r="H79" s="294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x14ac:dyDescent="0.2">
      <c r="A80" s="293"/>
      <c r="B80" s="293"/>
      <c r="C80" s="293"/>
      <c r="D80" s="293"/>
      <c r="E80" s="293"/>
      <c r="F80" s="294"/>
      <c r="G80" s="294"/>
      <c r="H80" s="294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x14ac:dyDescent="0.2">
      <c r="A81" s="293"/>
      <c r="B81" s="293"/>
      <c r="C81" s="293"/>
      <c r="D81" s="293"/>
      <c r="E81" s="293"/>
      <c r="F81" s="294"/>
      <c r="G81" s="294"/>
      <c r="H81" s="294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x14ac:dyDescent="0.2">
      <c r="A82" s="293"/>
      <c r="B82" s="293"/>
      <c r="C82" s="293"/>
      <c r="D82" s="293"/>
      <c r="E82" s="293"/>
      <c r="F82" s="294"/>
      <c r="G82" s="294"/>
      <c r="H82" s="294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3"/>
      <c r="B83" s="293"/>
      <c r="C83" s="293"/>
      <c r="D83" s="293"/>
      <c r="E83" s="293"/>
      <c r="F83" s="294"/>
      <c r="G83" s="294"/>
      <c r="H83" s="294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3"/>
      <c r="B84" s="293"/>
      <c r="C84" s="293"/>
      <c r="D84" s="293"/>
      <c r="E84" s="293"/>
      <c r="F84" s="294"/>
      <c r="G84" s="294"/>
      <c r="H84" s="294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3"/>
      <c r="B85" s="293"/>
      <c r="C85" s="293"/>
      <c r="D85" s="293"/>
      <c r="E85" s="293"/>
      <c r="F85" s="294"/>
      <c r="G85" s="294"/>
      <c r="H85" s="294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x14ac:dyDescent="0.2">
      <c r="A86" s="293"/>
      <c r="B86" s="293"/>
      <c r="C86" s="293"/>
      <c r="D86" s="293"/>
      <c r="E86" s="293"/>
      <c r="F86" s="294"/>
      <c r="G86" s="294"/>
      <c r="H86" s="294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x14ac:dyDescent="0.2">
      <c r="A87" s="293"/>
      <c r="B87" s="293"/>
      <c r="C87" s="293"/>
      <c r="D87" s="293"/>
      <c r="E87" s="293"/>
      <c r="F87" s="294"/>
      <c r="G87" s="294"/>
      <c r="H87" s="294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x14ac:dyDescent="0.2">
      <c r="A88" s="293"/>
      <c r="B88" s="293"/>
      <c r="C88" s="293"/>
      <c r="D88" s="293"/>
      <c r="E88" s="293"/>
      <c r="F88" s="294"/>
      <c r="G88" s="294"/>
      <c r="H88" s="294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x14ac:dyDescent="0.2">
      <c r="A89" s="293"/>
      <c r="B89" s="293"/>
      <c r="C89" s="293"/>
      <c r="D89" s="293"/>
      <c r="E89" s="293"/>
      <c r="F89" s="294"/>
      <c r="G89" s="294"/>
      <c r="H89" s="294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x14ac:dyDescent="0.2">
      <c r="A90" s="293"/>
      <c r="B90" s="293"/>
      <c r="C90" s="293"/>
      <c r="D90" s="293"/>
      <c r="E90" s="293"/>
      <c r="F90" s="294"/>
      <c r="G90" s="294"/>
      <c r="H90" s="294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x14ac:dyDescent="0.2">
      <c r="A91" s="293"/>
      <c r="B91" s="293"/>
      <c r="C91" s="293"/>
      <c r="D91" s="293"/>
      <c r="E91" s="293"/>
      <c r="F91" s="294"/>
      <c r="G91" s="294"/>
      <c r="H91" s="294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x14ac:dyDescent="0.2">
      <c r="A92" s="293"/>
      <c r="B92" s="293"/>
      <c r="C92" s="293"/>
      <c r="D92" s="293"/>
      <c r="E92" s="293"/>
      <c r="F92" s="294"/>
      <c r="G92" s="294"/>
      <c r="H92" s="294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x14ac:dyDescent="0.2">
      <c r="A93" s="293"/>
      <c r="B93" s="293"/>
      <c r="C93" s="293"/>
      <c r="D93" s="293"/>
      <c r="E93" s="293"/>
      <c r="F93" s="294"/>
      <c r="G93" s="294"/>
      <c r="H93" s="294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x14ac:dyDescent="0.2">
      <c r="A94" s="293"/>
      <c r="B94" s="293"/>
      <c r="C94" s="293"/>
      <c r="D94" s="293"/>
      <c r="E94" s="293"/>
      <c r="F94" s="294"/>
      <c r="G94" s="294"/>
      <c r="H94" s="294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x14ac:dyDescent="0.2">
      <c r="A95" s="293"/>
      <c r="B95" s="293"/>
      <c r="C95" s="293"/>
      <c r="D95" s="293"/>
      <c r="E95" s="293"/>
      <c r="F95" s="294"/>
      <c r="G95" s="294"/>
      <c r="H95" s="294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x14ac:dyDescent="0.2">
      <c r="A96" s="293"/>
      <c r="B96" s="293"/>
      <c r="C96" s="293"/>
      <c r="D96" s="293"/>
      <c r="E96" s="293"/>
      <c r="F96" s="294"/>
      <c r="G96" s="294"/>
      <c r="H96" s="294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x14ac:dyDescent="0.2">
      <c r="A97" s="293"/>
      <c r="B97" s="293"/>
      <c r="C97" s="293"/>
      <c r="D97" s="293"/>
      <c r="E97" s="293"/>
      <c r="F97" s="294"/>
      <c r="G97" s="294"/>
      <c r="H97" s="294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x14ac:dyDescent="0.2">
      <c r="A98" s="293"/>
      <c r="B98" s="293"/>
      <c r="C98" s="293"/>
      <c r="D98" s="293"/>
      <c r="E98" s="293"/>
      <c r="F98" s="294"/>
      <c r="G98" s="294"/>
      <c r="H98" s="294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x14ac:dyDescent="0.2">
      <c r="A99" s="293"/>
      <c r="B99" s="293"/>
      <c r="C99" s="293"/>
      <c r="D99" s="293"/>
      <c r="E99" s="293"/>
      <c r="F99" s="294"/>
      <c r="G99" s="294"/>
      <c r="H99" s="294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x14ac:dyDescent="0.2">
      <c r="A100" s="293"/>
      <c r="B100" s="293"/>
      <c r="C100" s="293"/>
      <c r="D100" s="293"/>
      <c r="E100" s="293"/>
      <c r="F100" s="294"/>
      <c r="G100" s="294"/>
      <c r="H100" s="294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x14ac:dyDescent="0.2">
      <c r="A101" s="293"/>
      <c r="B101" s="293"/>
      <c r="C101" s="293"/>
      <c r="D101" s="293"/>
      <c r="E101" s="293"/>
      <c r="F101" s="294"/>
      <c r="G101" s="294"/>
      <c r="H101" s="294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</row>
    <row r="102" spans="1:24" x14ac:dyDescent="0.2">
      <c r="A102" s="293"/>
      <c r="B102" s="293"/>
      <c r="C102" s="293"/>
      <c r="D102" s="293"/>
      <c r="E102" s="293"/>
      <c r="F102" s="294"/>
      <c r="G102" s="294"/>
      <c r="H102" s="294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x14ac:dyDescent="0.2">
      <c r="A103" s="293"/>
      <c r="B103" s="293"/>
      <c r="C103" s="293"/>
      <c r="D103" s="293"/>
      <c r="E103" s="293"/>
      <c r="F103" s="294"/>
      <c r="G103" s="294"/>
      <c r="H103" s="294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x14ac:dyDescent="0.2">
      <c r="A104" s="293"/>
      <c r="B104" s="293"/>
      <c r="C104" s="293"/>
      <c r="D104" s="293"/>
      <c r="E104" s="293"/>
      <c r="F104" s="294"/>
      <c r="G104" s="294"/>
      <c r="H104" s="294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x14ac:dyDescent="0.2">
      <c r="A105" s="293"/>
      <c r="B105" s="293"/>
      <c r="C105" s="293"/>
      <c r="D105" s="293"/>
      <c r="E105" s="293"/>
      <c r="F105" s="294"/>
      <c r="G105" s="294"/>
      <c r="H105" s="294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x14ac:dyDescent="0.2">
      <c r="A106" s="293"/>
      <c r="B106" s="293"/>
      <c r="C106" s="293"/>
      <c r="D106" s="293"/>
      <c r="E106" s="293"/>
      <c r="F106" s="294"/>
      <c r="G106" s="294"/>
      <c r="H106" s="294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x14ac:dyDescent="0.2">
      <c r="A107" s="293"/>
      <c r="B107" s="293"/>
      <c r="C107" s="293"/>
      <c r="D107" s="293"/>
      <c r="E107" s="293"/>
      <c r="F107" s="294"/>
      <c r="G107" s="294"/>
      <c r="H107" s="294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x14ac:dyDescent="0.2">
      <c r="A108" s="293"/>
      <c r="B108" s="293"/>
      <c r="C108" s="293"/>
      <c r="D108" s="293"/>
      <c r="E108" s="293"/>
      <c r="F108" s="294"/>
      <c r="G108" s="294"/>
      <c r="H108" s="294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x14ac:dyDescent="0.2">
      <c r="A109" s="293"/>
      <c r="B109" s="293"/>
      <c r="C109" s="293"/>
      <c r="D109" s="293"/>
      <c r="E109" s="293"/>
      <c r="F109" s="294"/>
      <c r="G109" s="294"/>
      <c r="H109" s="294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x14ac:dyDescent="0.2">
      <c r="A110" s="293"/>
      <c r="B110" s="293"/>
      <c r="C110" s="293"/>
      <c r="D110" s="293"/>
      <c r="E110" s="293"/>
      <c r="F110" s="294"/>
      <c r="G110" s="294"/>
      <c r="H110" s="294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x14ac:dyDescent="0.2">
      <c r="A111" s="293"/>
      <c r="B111" s="293"/>
      <c r="C111" s="293"/>
      <c r="D111" s="293"/>
      <c r="E111" s="293"/>
      <c r="F111" s="294"/>
      <c r="G111" s="294"/>
      <c r="H111" s="294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x14ac:dyDescent="0.2">
      <c r="A112" s="293"/>
      <c r="B112" s="293"/>
      <c r="C112" s="293"/>
      <c r="D112" s="293"/>
      <c r="E112" s="293"/>
      <c r="F112" s="294"/>
      <c r="G112" s="294"/>
      <c r="H112" s="294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x14ac:dyDescent="0.2">
      <c r="A113" s="293"/>
      <c r="B113" s="293"/>
      <c r="C113" s="293"/>
      <c r="D113" s="293"/>
      <c r="E113" s="293"/>
      <c r="F113" s="294"/>
      <c r="G113" s="294"/>
      <c r="H113" s="294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x14ac:dyDescent="0.2">
      <c r="A114" s="293"/>
      <c r="B114" s="293"/>
      <c r="C114" s="293"/>
      <c r="D114" s="293"/>
      <c r="E114" s="293"/>
      <c r="F114" s="294"/>
      <c r="G114" s="294"/>
      <c r="H114" s="294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</row>
    <row r="115" spans="1:24" x14ac:dyDescent="0.2">
      <c r="A115" s="293"/>
      <c r="B115" s="293"/>
      <c r="C115" s="293"/>
      <c r="D115" s="293"/>
      <c r="E115" s="293"/>
      <c r="F115" s="294"/>
      <c r="G115" s="294"/>
      <c r="H115" s="294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x14ac:dyDescent="0.2">
      <c r="A116" s="293"/>
      <c r="B116" s="293"/>
      <c r="C116" s="293"/>
      <c r="D116" s="293"/>
      <c r="E116" s="293"/>
      <c r="F116" s="294"/>
      <c r="G116" s="294"/>
      <c r="H116" s="294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</row>
    <row r="117" spans="1:24" x14ac:dyDescent="0.2">
      <c r="A117" s="293"/>
      <c r="B117" s="293"/>
      <c r="C117" s="293"/>
      <c r="D117" s="293"/>
      <c r="E117" s="293"/>
      <c r="F117" s="294"/>
      <c r="G117" s="294"/>
      <c r="H117" s="294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</row>
    <row r="118" spans="1:24" x14ac:dyDescent="0.2">
      <c r="A118" s="293"/>
      <c r="B118" s="293"/>
      <c r="C118" s="293"/>
      <c r="D118" s="293"/>
      <c r="E118" s="293"/>
      <c r="F118" s="294"/>
      <c r="G118" s="294"/>
      <c r="H118" s="294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x14ac:dyDescent="0.2">
      <c r="A119" s="293"/>
      <c r="B119" s="293"/>
      <c r="C119" s="293"/>
      <c r="D119" s="293"/>
      <c r="E119" s="293"/>
      <c r="F119" s="294"/>
      <c r="G119" s="294"/>
      <c r="H119" s="294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</row>
    <row r="120" spans="1:24" x14ac:dyDescent="0.2">
      <c r="A120" s="293"/>
      <c r="B120" s="293"/>
      <c r="C120" s="293"/>
      <c r="D120" s="293"/>
      <c r="E120" s="293"/>
      <c r="F120" s="294"/>
      <c r="G120" s="294"/>
      <c r="H120" s="294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x14ac:dyDescent="0.2">
      <c r="A121" s="293"/>
      <c r="B121" s="293"/>
      <c r="C121" s="293"/>
      <c r="D121" s="293"/>
      <c r="E121" s="293"/>
      <c r="F121" s="294"/>
      <c r="G121" s="294"/>
      <c r="H121" s="294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</row>
    <row r="122" spans="1:24" x14ac:dyDescent="0.2">
      <c r="A122" s="293"/>
      <c r="B122" s="293"/>
      <c r="C122" s="293"/>
      <c r="D122" s="293"/>
      <c r="E122" s="293"/>
      <c r="F122" s="294"/>
      <c r="G122" s="294"/>
      <c r="H122" s="294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</row>
    <row r="123" spans="1:24" x14ac:dyDescent="0.2">
      <c r="A123" s="293"/>
      <c r="B123" s="293"/>
      <c r="C123" s="293"/>
      <c r="D123" s="293"/>
      <c r="E123" s="293"/>
      <c r="F123" s="294"/>
      <c r="G123" s="294"/>
      <c r="H123" s="294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x14ac:dyDescent="0.2">
      <c r="A124" s="293"/>
      <c r="B124" s="293"/>
      <c r="C124" s="293"/>
      <c r="D124" s="293"/>
      <c r="E124" s="293"/>
      <c r="F124" s="294"/>
      <c r="G124" s="294"/>
      <c r="H124" s="294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x14ac:dyDescent="0.2">
      <c r="A125" s="293"/>
      <c r="B125" s="293"/>
      <c r="C125" s="293"/>
      <c r="D125" s="293"/>
      <c r="E125" s="293"/>
      <c r="F125" s="294"/>
      <c r="G125" s="294"/>
      <c r="H125" s="294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x14ac:dyDescent="0.2">
      <c r="A126" s="293"/>
      <c r="B126" s="293"/>
      <c r="C126" s="293"/>
      <c r="D126" s="293"/>
      <c r="E126" s="293"/>
      <c r="F126" s="294"/>
      <c r="G126" s="294"/>
      <c r="H126" s="294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x14ac:dyDescent="0.2">
      <c r="A127" s="293"/>
      <c r="B127" s="293"/>
      <c r="C127" s="293"/>
      <c r="D127" s="293"/>
      <c r="E127" s="293"/>
      <c r="F127" s="294"/>
      <c r="G127" s="294"/>
      <c r="H127" s="294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x14ac:dyDescent="0.2">
      <c r="A128" s="293"/>
      <c r="B128" s="293"/>
      <c r="C128" s="293"/>
      <c r="D128" s="293"/>
      <c r="E128" s="293"/>
      <c r="F128" s="294"/>
      <c r="G128" s="294"/>
      <c r="H128" s="294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x14ac:dyDescent="0.2">
      <c r="A129" s="293"/>
      <c r="B129" s="293"/>
      <c r="C129" s="293"/>
      <c r="D129" s="293"/>
      <c r="E129" s="293"/>
      <c r="F129" s="294"/>
      <c r="G129" s="294"/>
      <c r="H129" s="294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x14ac:dyDescent="0.2">
      <c r="A130" s="293"/>
      <c r="B130" s="293"/>
      <c r="C130" s="293"/>
      <c r="D130" s="293"/>
      <c r="E130" s="293"/>
      <c r="F130" s="294"/>
      <c r="G130" s="294"/>
      <c r="H130" s="294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x14ac:dyDescent="0.2">
      <c r="A131" s="293"/>
      <c r="B131" s="293"/>
      <c r="C131" s="293"/>
      <c r="D131" s="293"/>
      <c r="E131" s="293"/>
      <c r="F131" s="294"/>
      <c r="G131" s="294"/>
      <c r="H131" s="294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x14ac:dyDescent="0.2">
      <c r="A132" s="293"/>
      <c r="B132" s="293"/>
      <c r="C132" s="293"/>
      <c r="D132" s="293"/>
      <c r="E132" s="293"/>
      <c r="F132" s="294"/>
      <c r="G132" s="294"/>
      <c r="H132" s="294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x14ac:dyDescent="0.2">
      <c r="A133" s="293"/>
      <c r="B133" s="293"/>
      <c r="C133" s="293"/>
      <c r="D133" s="293"/>
      <c r="E133" s="293"/>
      <c r="F133" s="294"/>
      <c r="G133" s="294"/>
      <c r="H133" s="294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x14ac:dyDescent="0.2">
      <c r="A134" s="293"/>
      <c r="B134" s="293"/>
      <c r="C134" s="293"/>
      <c r="D134" s="293"/>
      <c r="E134" s="293"/>
      <c r="F134" s="294"/>
      <c r="G134" s="294"/>
      <c r="H134" s="294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</row>
    <row r="135" spans="1:24" x14ac:dyDescent="0.2">
      <c r="A135" s="293"/>
      <c r="B135" s="293"/>
      <c r="C135" s="293"/>
      <c r="D135" s="293"/>
      <c r="E135" s="293"/>
      <c r="F135" s="294"/>
      <c r="G135" s="294"/>
      <c r="H135" s="294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x14ac:dyDescent="0.2">
      <c r="A136" s="293"/>
      <c r="B136" s="293"/>
      <c r="C136" s="293"/>
      <c r="D136" s="293"/>
      <c r="E136" s="293"/>
      <c r="F136" s="294"/>
      <c r="G136" s="294"/>
      <c r="H136" s="294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x14ac:dyDescent="0.2">
      <c r="A137" s="293"/>
      <c r="B137" s="293"/>
      <c r="C137" s="293"/>
      <c r="D137" s="293"/>
      <c r="E137" s="293"/>
      <c r="F137" s="294"/>
      <c r="G137" s="294"/>
      <c r="H137" s="294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x14ac:dyDescent="0.2">
      <c r="A138" s="293"/>
      <c r="B138" s="293"/>
      <c r="C138" s="293"/>
      <c r="D138" s="293"/>
      <c r="E138" s="293"/>
      <c r="F138" s="294"/>
      <c r="G138" s="294"/>
      <c r="H138" s="294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x14ac:dyDescent="0.2">
      <c r="A139" s="293"/>
      <c r="B139" s="293"/>
      <c r="C139" s="293"/>
      <c r="D139" s="293"/>
      <c r="E139" s="293"/>
      <c r="F139" s="294"/>
      <c r="G139" s="294"/>
      <c r="H139" s="294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x14ac:dyDescent="0.2">
      <c r="A140" s="293"/>
      <c r="B140" s="293"/>
      <c r="C140" s="293"/>
      <c r="D140" s="293"/>
      <c r="E140" s="293"/>
      <c r="F140" s="294"/>
      <c r="G140" s="294"/>
      <c r="H140" s="294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x14ac:dyDescent="0.2">
      <c r="A141" s="293"/>
      <c r="B141" s="293"/>
      <c r="C141" s="293"/>
      <c r="D141" s="293"/>
      <c r="E141" s="293"/>
      <c r="F141" s="294"/>
      <c r="G141" s="294"/>
      <c r="H141" s="294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x14ac:dyDescent="0.2">
      <c r="A142" s="293"/>
      <c r="B142" s="293"/>
      <c r="C142" s="293"/>
      <c r="D142" s="293"/>
      <c r="E142" s="293"/>
      <c r="F142" s="294"/>
      <c r="G142" s="294"/>
      <c r="H142" s="294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x14ac:dyDescent="0.2">
      <c r="A143" s="293"/>
      <c r="B143" s="293"/>
      <c r="C143" s="293"/>
      <c r="D143" s="293"/>
      <c r="E143" s="293"/>
      <c r="F143" s="294"/>
      <c r="G143" s="294"/>
      <c r="H143" s="294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:24" x14ac:dyDescent="0.2">
      <c r="A144" s="293"/>
      <c r="B144" s="293"/>
      <c r="C144" s="293"/>
      <c r="D144" s="293"/>
      <c r="E144" s="293"/>
      <c r="F144" s="294"/>
      <c r="G144" s="294"/>
      <c r="H144" s="294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</row>
    <row r="145" spans="1:24" x14ac:dyDescent="0.2">
      <c r="A145" s="293"/>
      <c r="B145" s="293"/>
      <c r="C145" s="293"/>
      <c r="D145" s="293"/>
      <c r="E145" s="293"/>
      <c r="F145" s="294"/>
      <c r="G145" s="294"/>
      <c r="H145" s="294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</row>
    <row r="146" spans="1:24" x14ac:dyDescent="0.2">
      <c r="A146" s="293"/>
      <c r="B146" s="293"/>
      <c r="C146" s="293"/>
      <c r="D146" s="293"/>
      <c r="E146" s="293"/>
      <c r="F146" s="294"/>
      <c r="G146" s="294"/>
      <c r="H146" s="294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</row>
    <row r="147" spans="1:24" x14ac:dyDescent="0.2">
      <c r="A147" s="293"/>
      <c r="B147" s="293"/>
      <c r="C147" s="293"/>
      <c r="D147" s="293"/>
      <c r="E147" s="293"/>
      <c r="F147" s="294"/>
      <c r="G147" s="294"/>
      <c r="H147" s="294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</row>
    <row r="148" spans="1:24" x14ac:dyDescent="0.2">
      <c r="A148" s="293"/>
      <c r="B148" s="293"/>
      <c r="C148" s="293"/>
      <c r="D148" s="293"/>
      <c r="E148" s="293"/>
      <c r="F148" s="294"/>
      <c r="G148" s="294"/>
      <c r="H148" s="294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</row>
    <row r="149" spans="1:24" x14ac:dyDescent="0.2">
      <c r="A149" s="293"/>
      <c r="B149" s="293"/>
      <c r="C149" s="293"/>
      <c r="D149" s="293"/>
      <c r="E149" s="293"/>
      <c r="F149" s="294"/>
      <c r="G149" s="294"/>
      <c r="H149" s="294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</row>
    <row r="150" spans="1:24" x14ac:dyDescent="0.2">
      <c r="A150" s="293"/>
      <c r="B150" s="293"/>
      <c r="C150" s="293"/>
      <c r="D150" s="293"/>
      <c r="E150" s="293"/>
      <c r="F150" s="294"/>
      <c r="G150" s="294"/>
      <c r="H150" s="294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</row>
    <row r="151" spans="1:24" x14ac:dyDescent="0.2">
      <c r="A151" s="293"/>
      <c r="B151" s="293"/>
      <c r="C151" s="293"/>
      <c r="D151" s="293"/>
      <c r="E151" s="293"/>
      <c r="F151" s="294"/>
      <c r="G151" s="294"/>
      <c r="H151" s="294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</row>
    <row r="152" spans="1:24" x14ac:dyDescent="0.2">
      <c r="A152" s="293"/>
      <c r="B152" s="293"/>
      <c r="C152" s="293"/>
      <c r="D152" s="293"/>
      <c r="E152" s="293"/>
      <c r="F152" s="294"/>
      <c r="G152" s="294"/>
      <c r="H152" s="294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</row>
    <row r="153" spans="1:24" x14ac:dyDescent="0.2">
      <c r="A153" s="293"/>
      <c r="B153" s="293"/>
      <c r="C153" s="293"/>
      <c r="D153" s="293"/>
      <c r="E153" s="293"/>
      <c r="F153" s="294"/>
      <c r="G153" s="294"/>
      <c r="H153" s="294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</row>
    <row r="154" spans="1:24" x14ac:dyDescent="0.2">
      <c r="A154" s="293"/>
      <c r="B154" s="293"/>
      <c r="C154" s="293"/>
      <c r="D154" s="293"/>
      <c r="E154" s="293"/>
      <c r="F154" s="294"/>
      <c r="G154" s="294"/>
      <c r="H154" s="294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</row>
    <row r="155" spans="1:24" x14ac:dyDescent="0.2">
      <c r="A155" s="293"/>
      <c r="B155" s="293"/>
      <c r="C155" s="293"/>
      <c r="D155" s="293"/>
      <c r="E155" s="293"/>
      <c r="F155" s="294"/>
      <c r="G155" s="294"/>
      <c r="H155" s="294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</row>
    <row r="156" spans="1:24" x14ac:dyDescent="0.2">
      <c r="A156" s="293"/>
      <c r="B156" s="293"/>
      <c r="C156" s="293"/>
      <c r="D156" s="293"/>
      <c r="E156" s="293"/>
      <c r="F156" s="294"/>
      <c r="G156" s="294"/>
      <c r="H156" s="294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</row>
    <row r="157" spans="1:24" x14ac:dyDescent="0.2">
      <c r="A157" s="293"/>
      <c r="B157" s="293"/>
      <c r="C157" s="293"/>
      <c r="D157" s="293"/>
      <c r="E157" s="293"/>
      <c r="F157" s="294"/>
      <c r="G157" s="294"/>
      <c r="H157" s="294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</row>
    <row r="158" spans="1:24" x14ac:dyDescent="0.2">
      <c r="A158" s="293"/>
      <c r="B158" s="293"/>
      <c r="C158" s="293"/>
      <c r="D158" s="293"/>
      <c r="E158" s="293"/>
      <c r="F158" s="294"/>
      <c r="G158" s="294"/>
      <c r="H158" s="294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</row>
    <row r="159" spans="1:24" x14ac:dyDescent="0.2">
      <c r="A159" s="293"/>
      <c r="B159" s="293"/>
      <c r="C159" s="293"/>
      <c r="D159" s="293"/>
      <c r="E159" s="293"/>
      <c r="F159" s="294"/>
      <c r="G159" s="294"/>
      <c r="H159" s="294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</row>
    <row r="160" spans="1:24" x14ac:dyDescent="0.2">
      <c r="A160" s="293"/>
      <c r="B160" s="293"/>
      <c r="C160" s="293"/>
      <c r="D160" s="293"/>
      <c r="E160" s="293"/>
      <c r="F160" s="294"/>
      <c r="G160" s="294"/>
      <c r="H160" s="294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</row>
    <row r="161" spans="1:24" x14ac:dyDescent="0.2">
      <c r="A161" s="293"/>
      <c r="B161" s="293"/>
      <c r="C161" s="293"/>
      <c r="D161" s="293"/>
      <c r="E161" s="293"/>
      <c r="F161" s="294"/>
      <c r="G161" s="294"/>
      <c r="H161" s="294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</row>
    <row r="162" spans="1:24" x14ac:dyDescent="0.2">
      <c r="A162" s="293"/>
      <c r="B162" s="293"/>
      <c r="C162" s="293"/>
      <c r="D162" s="293"/>
      <c r="E162" s="293"/>
      <c r="F162" s="294"/>
      <c r="G162" s="294"/>
      <c r="H162" s="294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</row>
    <row r="163" spans="1:24" x14ac:dyDescent="0.2">
      <c r="A163" s="293"/>
      <c r="B163" s="293"/>
      <c r="C163" s="293"/>
      <c r="D163" s="293"/>
      <c r="E163" s="293"/>
      <c r="F163" s="294"/>
      <c r="G163" s="294"/>
      <c r="H163" s="294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</row>
    <row r="164" spans="1:24" x14ac:dyDescent="0.2">
      <c r="A164" s="293"/>
      <c r="B164" s="293"/>
      <c r="C164" s="293"/>
      <c r="D164" s="293"/>
      <c r="E164" s="293"/>
      <c r="F164" s="294"/>
      <c r="G164" s="294"/>
      <c r="H164" s="294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</row>
    <row r="165" spans="1:24" x14ac:dyDescent="0.2">
      <c r="A165" s="293"/>
      <c r="B165" s="293"/>
      <c r="C165" s="293"/>
      <c r="D165" s="293"/>
      <c r="E165" s="293"/>
      <c r="F165" s="294"/>
      <c r="G165" s="294"/>
      <c r="H165" s="294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</row>
    <row r="166" spans="1:24" x14ac:dyDescent="0.2">
      <c r="A166" s="293"/>
      <c r="B166" s="293"/>
      <c r="C166" s="293"/>
      <c r="D166" s="293"/>
      <c r="E166" s="293"/>
      <c r="F166" s="294"/>
      <c r="G166" s="294"/>
      <c r="H166" s="294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</row>
    <row r="167" spans="1:24" x14ac:dyDescent="0.2">
      <c r="A167" s="293"/>
      <c r="B167" s="293"/>
      <c r="C167" s="293"/>
      <c r="D167" s="293"/>
      <c r="E167" s="293"/>
      <c r="F167" s="294"/>
      <c r="G167" s="294"/>
      <c r="H167" s="294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</row>
    <row r="168" spans="1:24" x14ac:dyDescent="0.2">
      <c r="A168" s="293"/>
      <c r="B168" s="293"/>
      <c r="C168" s="293"/>
      <c r="D168" s="293"/>
      <c r="E168" s="293"/>
      <c r="F168" s="294"/>
      <c r="G168" s="294"/>
      <c r="H168" s="294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</row>
    <row r="169" spans="1:24" x14ac:dyDescent="0.2">
      <c r="A169" s="293"/>
      <c r="B169" s="293"/>
      <c r="C169" s="293"/>
      <c r="D169" s="293"/>
      <c r="E169" s="293"/>
      <c r="F169" s="294"/>
      <c r="G169" s="294"/>
      <c r="H169" s="294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</row>
    <row r="170" spans="1:24" x14ac:dyDescent="0.2">
      <c r="A170" s="293"/>
      <c r="B170" s="293"/>
      <c r="C170" s="293"/>
      <c r="D170" s="293"/>
      <c r="E170" s="293"/>
      <c r="F170" s="294"/>
      <c r="G170" s="294"/>
      <c r="H170" s="294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</row>
    <row r="171" spans="1:24" x14ac:dyDescent="0.2">
      <c r="A171" s="293"/>
      <c r="B171" s="293"/>
      <c r="C171" s="293"/>
      <c r="D171" s="293"/>
      <c r="E171" s="293"/>
      <c r="F171" s="294"/>
      <c r="G171" s="294"/>
      <c r="H171" s="294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</row>
    <row r="172" spans="1:24" x14ac:dyDescent="0.2">
      <c r="A172" s="293"/>
      <c r="B172" s="293"/>
      <c r="C172" s="293"/>
      <c r="D172" s="293"/>
      <c r="E172" s="293"/>
      <c r="F172" s="294"/>
      <c r="G172" s="294"/>
      <c r="H172" s="294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indexed="48"/>
  </sheetPr>
  <dimension ref="A1:X172"/>
  <sheetViews>
    <sheetView view="pageBreakPreview" topLeftCell="F1" zoomScale="50" zoomScaleSheetLayoutView="50" workbookViewId="0">
      <selection activeCell="K43" sqref="K43"/>
    </sheetView>
  </sheetViews>
  <sheetFormatPr defaultRowHeight="12.75" x14ac:dyDescent="0.2"/>
  <cols>
    <col min="1" max="6" width="9.42578125" customWidth="1"/>
    <col min="7" max="7" width="10.5703125" customWidth="1"/>
    <col min="8" max="8" width="14.85546875" customWidth="1"/>
    <col min="11" max="11" width="19.5703125" customWidth="1"/>
    <col min="14" max="14" width="26.7109375" customWidth="1"/>
    <col min="15" max="16" width="3" customWidth="1"/>
    <col min="17" max="17" width="2.85546875" customWidth="1"/>
    <col min="18" max="21" width="3" customWidth="1"/>
    <col min="22" max="22" width="10.5703125" customWidth="1"/>
    <col min="23" max="23" width="11.85546875" customWidth="1"/>
    <col min="24" max="24" width="12" customWidth="1"/>
    <col min="25" max="25" width="5.5703125" customWidth="1"/>
  </cols>
  <sheetData>
    <row r="1" spans="1:24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03"/>
      <c r="M1" s="403"/>
      <c r="N1" s="287"/>
      <c r="O1" s="288" t="s">
        <v>36</v>
      </c>
      <c r="P1" s="288" t="s">
        <v>11</v>
      </c>
      <c r="Q1" s="288" t="s">
        <v>12</v>
      </c>
      <c r="R1" s="288" t="s">
        <v>13</v>
      </c>
      <c r="S1" s="288" t="s">
        <v>1</v>
      </c>
      <c r="T1" s="288" t="s">
        <v>14</v>
      </c>
      <c r="U1" s="288" t="s">
        <v>10</v>
      </c>
      <c r="V1" s="288" t="s">
        <v>181</v>
      </c>
      <c r="W1" s="288" t="s">
        <v>182</v>
      </c>
      <c r="X1" s="288" t="s">
        <v>183</v>
      </c>
    </row>
    <row r="2" spans="1:24" x14ac:dyDescent="0.2">
      <c r="A2" s="289" t="s">
        <v>36</v>
      </c>
      <c r="B2" s="289" t="s">
        <v>184</v>
      </c>
      <c r="C2" s="289" t="s">
        <v>12</v>
      </c>
      <c r="D2" s="289" t="s">
        <v>185</v>
      </c>
      <c r="E2" s="289" t="s">
        <v>186</v>
      </c>
      <c r="F2" s="289" t="s">
        <v>187</v>
      </c>
      <c r="G2" s="289" t="s">
        <v>188</v>
      </c>
      <c r="H2" s="289" t="s">
        <v>189</v>
      </c>
      <c r="I2" s="287"/>
      <c r="J2" s="287"/>
      <c r="K2" s="290" t="e">
        <f>(((($U2*100+$V2)*100+$W2)*100+$X2)*100+$S2)*100+ROW($K$1)-ROW()</f>
        <v>#REF!</v>
      </c>
      <c r="L2" s="402" t="e">
        <f>RANK(K2,$K$2:$K$5)</f>
        <v>#REF!</v>
      </c>
      <c r="M2" s="402"/>
      <c r="N2" s="291" t="e">
        <f>#REF!</f>
        <v>#REF!</v>
      </c>
      <c r="O2" s="290">
        <f>SUMIF(GRUPC!$A$5:$A$29,$N2,$A$3:$A$374)+SUMIF(GRUPC!$E$5:$E$29,$N2,$A$3:$A$374)</f>
        <v>12</v>
      </c>
      <c r="P2" s="290">
        <f>SUMIF(GRUPC!$A$5:$A$29,$N2,$B$3:$B$374)+SUMIF(GRUPC!$E$5:$E$29,$N2,$D$3:$D$374)</f>
        <v>6</v>
      </c>
      <c r="Q2" s="290">
        <f>SUMIF(GRUPC!$A$5:$A$29,$N2,$C$3:$C$374)+SUMIF(GRUPC!$E$5:$E$29,$N2,$C$3:$C$374)</f>
        <v>0</v>
      </c>
      <c r="R2" s="290">
        <f>O2-P2-Q2</f>
        <v>6</v>
      </c>
      <c r="S2" s="290">
        <f>SUMIF(GRUPC!$A$5:$A$29,$N2,GRUPC!$B$5:$B$29)+SUMIF(GRUPC!$E$5:$E$29,$N2,GRUPC!$D$5:$D$29)</f>
        <v>72</v>
      </c>
      <c r="T2" s="290">
        <f>SUMIF(GRUPC!$A$5:$A$29,$N2,GRUPC!$D$5:$D$29)+SUMIF(GRUPC!$E$5:$E$29,$N2,GRUPC!$B$5:$B$29)</f>
        <v>72</v>
      </c>
      <c r="U2" s="292">
        <f>P2*3+Q2</f>
        <v>18</v>
      </c>
      <c r="V2" s="290" t="e">
        <f>SUMIF(GRUPC!$A$5:$A$29,$N2,$F$3:$F$374)-SUMIF(GRUPC!$E$5:$E$29,$N2,$F$3:$F$374)</f>
        <v>#REF!</v>
      </c>
      <c r="W2" s="290" t="e">
        <f>SUMIF(GRUPC!$A$5:$A$29,$N2,$G$3:$G$374)-SUMIF(GRUPC!$E$5:$E$29,$N2,$G$3:$G$374)</f>
        <v>#REF!</v>
      </c>
      <c r="X2" s="290">
        <f>S2-T2</f>
        <v>0</v>
      </c>
    </row>
    <row r="3" spans="1:24" x14ac:dyDescent="0.2">
      <c r="A3" s="293">
        <f>IF(OR(ISBLANK(GRUPC!$B5),ISBLANK(GRUPC!$D5)),0,1)</f>
        <v>1</v>
      </c>
      <c r="B3" s="293">
        <f>IF(AND($A3=1,GRUPC!$B5&gt;GRUPC!$D5),1,0)</f>
        <v>0</v>
      </c>
      <c r="C3" s="293">
        <f>IF(AND($A3=1,GRUPC!$B5=GRUPC!$D5),1,0)</f>
        <v>0</v>
      </c>
      <c r="D3" s="293">
        <f>IF(AND($A3=1,GRUPC!$B5&lt;GRUPC!$D5),1,0)</f>
        <v>1</v>
      </c>
      <c r="E3" s="293" t="e">
        <f>IF(VLOOKUP(GRUPC!$A5,$N$2:$U$19,8,FALSE)=VLOOKUP(GRUPC!$E5,$N$2:$U$19,8,FALSE),1,0)</f>
        <v>#REF!</v>
      </c>
      <c r="F3" s="294" t="e">
        <f t="shared" ref="F3:F11" si="0">IF($E3=1,2*$B3-2*$D3,0)</f>
        <v>#REF!</v>
      </c>
      <c r="G3" s="294" t="e">
        <f>IF($E3=1,GRUPC!$B5-GRUPC!$D5,0)</f>
        <v>#REF!</v>
      </c>
      <c r="H3" s="294" t="e">
        <f>IF($E3=1,GRUPC!$D5,0)</f>
        <v>#REF!</v>
      </c>
      <c r="I3" s="287"/>
      <c r="J3" s="287"/>
      <c r="K3" s="290" t="e">
        <f>(((($U3*100+$V3)*100+$W3)*100+$X3)*100+$S3)*100+ROW($K$1)-ROW()</f>
        <v>#REF!</v>
      </c>
      <c r="L3" s="402" t="e">
        <f>RANK(K3,$K$2:$K$5)</f>
        <v>#REF!</v>
      </c>
      <c r="M3" s="402"/>
      <c r="N3" s="291" t="e">
        <f>#REF!</f>
        <v>#REF!</v>
      </c>
      <c r="O3" s="290">
        <f>SUMIF(GRUPC!$A$5:$A$29,$N3,$A$3:$A$374)+SUMIF(GRUPC!$E$5:$E$29,$N3,$A$3:$A$374)</f>
        <v>12</v>
      </c>
      <c r="P3" s="290">
        <f>SUMIF(GRUPC!$A$5:$A$29,$N3,$B$3:$B$374)+SUMIF(GRUPC!$E$5:$E$29,$N3,$D$3:$D$374)</f>
        <v>6</v>
      </c>
      <c r="Q3" s="290">
        <f>SUMIF(GRUPC!$A$5:$A$29,$N3,$C$3:$C$374)+SUMIF(GRUPC!$E$5:$E$29,$N3,$C$3:$C$374)</f>
        <v>0</v>
      </c>
      <c r="R3" s="290">
        <f>O3-P3-Q3</f>
        <v>6</v>
      </c>
      <c r="S3" s="290">
        <f>SUMIF(GRUPC!$A$5:$A$29,$N3,GRUPC!$B$5:$B$29)+SUMIF(GRUPC!$E$5:$E$29,$N3,GRUPC!$D$5:$D$29)</f>
        <v>72</v>
      </c>
      <c r="T3" s="290">
        <f>SUMIF(GRUPC!$A$5:$A$29,$N3,GRUPC!$D$5:$D$29)+SUMIF(GRUPC!$E$5:$E$29,$N3,GRUPC!$B$5:$B$29)</f>
        <v>72</v>
      </c>
      <c r="U3" s="292">
        <f>P3*3+Q3</f>
        <v>18</v>
      </c>
      <c r="V3" s="290" t="e">
        <f>SUMIF(GRUPC!$A$5:$A$29,$N3,$F$3:$F$374)-SUMIF(GRUPC!$E$5:$E$29,$N3,$F$3:$F$374)</f>
        <v>#REF!</v>
      </c>
      <c r="W3" s="290" t="e">
        <f>SUMIF(GRUPC!$A$5:$A$29,$N3,$G$3:$G$374)-SUMIF(GRUPC!$E$5:$E$29,$N3,$G$3:$G$374)</f>
        <v>#REF!</v>
      </c>
      <c r="X3" s="290">
        <f>S3-T3</f>
        <v>0</v>
      </c>
    </row>
    <row r="4" spans="1:24" x14ac:dyDescent="0.2">
      <c r="A4" s="293">
        <f>IF(OR(ISBLANK(GRUPC!$B6),ISBLANK(GRUPC!$D6)),0,1)</f>
        <v>1</v>
      </c>
      <c r="B4" s="293">
        <f>IF(AND($A4=1,GRUPC!$B6&gt;GRUPC!$D6),1,0)</f>
        <v>0</v>
      </c>
      <c r="C4" s="293">
        <f>IF(AND($A4=1,GRUPC!$B6=GRUPC!$D6),1,0)</f>
        <v>0</v>
      </c>
      <c r="D4" s="293">
        <f>IF(AND($A4=1,GRUPC!$B6&lt;GRUPC!$D6),1,0)</f>
        <v>1</v>
      </c>
      <c r="E4" s="293" t="e">
        <f>IF(VLOOKUP(GRUPC!$A6,$N$2:$U$19,8,FALSE)=VLOOKUP(GRUPC!$E6,$N$2:$U$19,8,FALSE),1,0)</f>
        <v>#REF!</v>
      </c>
      <c r="F4" s="294" t="e">
        <f t="shared" si="0"/>
        <v>#REF!</v>
      </c>
      <c r="G4" s="294" t="e">
        <f>IF($E4=1,GRUPC!$B6-GRUPC!$D6,0)</f>
        <v>#REF!</v>
      </c>
      <c r="H4" s="294" t="e">
        <f>IF($E4=1,GRUPC!$D6,0)</f>
        <v>#REF!</v>
      </c>
      <c r="I4" s="287"/>
      <c r="J4" s="287"/>
      <c r="K4" s="290" t="e">
        <f>(((($U4*100+$V4)*100+$W4)*100+$X4)*100+$S4)*100+ROW($K$1)-ROW()</f>
        <v>#REF!</v>
      </c>
      <c r="L4" s="402" t="e">
        <f>RANK(K4,$K$2:$K$5)</f>
        <v>#REF!</v>
      </c>
      <c r="M4" s="402"/>
      <c r="N4" s="291" t="e">
        <f>#REF!</f>
        <v>#REF!</v>
      </c>
      <c r="O4" s="290">
        <f>SUMIF(GRUPC!$A$5:$A$29,$N4,$A$3:$A$374)+SUMIF(GRUPC!$E$5:$E$29,$N4,$A$3:$A$374)</f>
        <v>12</v>
      </c>
      <c r="P4" s="290">
        <f>SUMIF(GRUPC!$A$5:$A$29,$N4,$B$3:$B$374)+SUMIF(GRUPC!$E$5:$E$29,$N4,$D$3:$D$374)</f>
        <v>6</v>
      </c>
      <c r="Q4" s="290">
        <f>SUMIF(GRUPC!$A$5:$A$29,$N4,$C$3:$C$374)+SUMIF(GRUPC!$E$5:$E$29,$N4,$C$3:$C$374)</f>
        <v>0</v>
      </c>
      <c r="R4" s="290">
        <f>O4-P4-Q4</f>
        <v>6</v>
      </c>
      <c r="S4" s="290">
        <f>SUMIF(GRUPC!$A$5:$A$29,$N4,GRUPC!$B$5:$B$29)+SUMIF(GRUPC!$E$5:$E$29,$N4,GRUPC!$D$5:$D$29)</f>
        <v>72</v>
      </c>
      <c r="T4" s="290">
        <f>SUMIF(GRUPC!$A$5:$A$29,$N4,GRUPC!$D$5:$D$29)+SUMIF(GRUPC!$E$5:$E$29,$N4,GRUPC!$B$5:$B$29)</f>
        <v>72</v>
      </c>
      <c r="U4" s="292">
        <f>P4*3+Q4</f>
        <v>18</v>
      </c>
      <c r="V4" s="290" t="e">
        <f>SUMIF(GRUPC!$A$5:$A$29,$N4,$F$3:$F$374)-SUMIF(GRUPC!$E$5:$E$29,$N4,$F$3:$F$374)</f>
        <v>#REF!</v>
      </c>
      <c r="W4" s="290" t="e">
        <f>SUMIF(GRUPC!$A$5:$A$29,$N4,$G$3:$G$374)-SUMIF(GRUPC!$E$5:$E$29,$N4,$G$3:$G$374)</f>
        <v>#REF!</v>
      </c>
      <c r="X4" s="290">
        <f>S4-T4</f>
        <v>0</v>
      </c>
    </row>
    <row r="5" spans="1:24" ht="15.75" customHeight="1" x14ac:dyDescent="0.2">
      <c r="A5" s="293">
        <f>IF(OR(ISBLANK(GRUPC!$B7),ISBLANK(GRUPC!$D7)),0,1)</f>
        <v>0</v>
      </c>
      <c r="B5" s="293">
        <f>IF(AND($A5=1,GRUPC!$B7&gt;GRUPC!$D7),1,0)</f>
        <v>0</v>
      </c>
      <c r="C5" s="293">
        <f>IF(AND($A5=1,GRUPC!$B7=GRUPC!$D7),1,0)</f>
        <v>0</v>
      </c>
      <c r="D5" s="293">
        <f>IF(AND($A5=1,GRUPC!$B7&lt;GRUPC!$D7),1,0)</f>
        <v>0</v>
      </c>
      <c r="E5" s="293" t="e">
        <f>IF(VLOOKUP(GRUPC!$A7,$N$2:$U$19,8,FALSE)=VLOOKUP(GRUPC!$E7,$N$2:$U$19,8,FALSE),1,0)</f>
        <v>#N/A</v>
      </c>
      <c r="F5" s="294" t="e">
        <f t="shared" si="0"/>
        <v>#N/A</v>
      </c>
      <c r="G5" s="294" t="e">
        <f>IF($E5=1,GRUPC!$B7-GRUPC!$D7,0)</f>
        <v>#N/A</v>
      </c>
      <c r="H5" s="294" t="e">
        <f>IF($E5=1,GRUPC!$D7,0)</f>
        <v>#N/A</v>
      </c>
      <c r="I5" s="287"/>
      <c r="J5" s="287"/>
      <c r="K5" s="290" t="e">
        <f>(((($U5*100+$V5)*100+$W5)*100+$X5)*100+$S5)*100+ROW($K$1)-ROW()</f>
        <v>#REF!</v>
      </c>
      <c r="L5" s="402" t="e">
        <f>RANK(K5,$K$2:$K$5)</f>
        <v>#REF!</v>
      </c>
      <c r="M5" s="402"/>
      <c r="N5" s="291" t="e">
        <f>#REF!</f>
        <v>#REF!</v>
      </c>
      <c r="O5" s="290">
        <f>SUMIF(GRUPC!$A$5:$A$29,$N5,$A$3:$A$374)+SUMIF(GRUPC!$E$5:$E$29,$N5,$A$3:$A$374)</f>
        <v>12</v>
      </c>
      <c r="P5" s="290">
        <f>SUMIF(GRUPC!$A$5:$A$29,$N5,$B$3:$B$374)+SUMIF(GRUPC!$E$5:$E$29,$N5,$D$3:$D$374)</f>
        <v>6</v>
      </c>
      <c r="Q5" s="290">
        <f>SUMIF(GRUPC!$A$5:$A$29,$N5,$C$3:$C$374)+SUMIF(GRUPC!$E$5:$E$29,$N5,$C$3:$C$374)</f>
        <v>0</v>
      </c>
      <c r="R5" s="290">
        <f>O5-P5-Q5</f>
        <v>6</v>
      </c>
      <c r="S5" s="290">
        <f>SUMIF(GRUPC!$A$5:$A$29,$N5,GRUPC!$B$5:$B$29)+SUMIF(GRUPC!$E$5:$E$29,$N5,GRUPC!$D$5:$D$29)</f>
        <v>72</v>
      </c>
      <c r="T5" s="290">
        <f>SUMIF(GRUPC!$A$5:$A$29,$N5,GRUPC!$D$5:$D$29)+SUMIF(GRUPC!$E$5:$E$29,$N5,GRUPC!$B$5:$B$29)</f>
        <v>72</v>
      </c>
      <c r="U5" s="292">
        <f>P5*3+Q5</f>
        <v>18</v>
      </c>
      <c r="V5" s="290" t="e">
        <f>SUMIF(GRUPC!$A$5:$A$29,$N5,$F$3:$F$374)-SUMIF(GRUPC!$E$5:$E$29,$N5,$F$3:$F$374)</f>
        <v>#REF!</v>
      </c>
      <c r="W5" s="290" t="e">
        <f>SUMIF(GRUPC!$A$5:$A$29,$N5,$G$3:$G$374)-SUMIF(GRUPC!$E$5:$E$29,$N5,$G$3:$G$374)</f>
        <v>#REF!</v>
      </c>
      <c r="X5" s="290">
        <f>S5-T5</f>
        <v>0</v>
      </c>
    </row>
    <row r="6" spans="1:24" x14ac:dyDescent="0.2">
      <c r="A6" s="293">
        <f>IF(OR(ISBLANK(GRUPC!$B8),ISBLANK(GRUPC!$D8)),0,1)</f>
        <v>0</v>
      </c>
      <c r="B6" s="293">
        <f>IF(AND($A6=1,GRUPC!$B8&gt;GRUPC!$D8),1,0)</f>
        <v>0</v>
      </c>
      <c r="C6" s="293">
        <f>IF(AND($A6=1,GRUPC!$B8=GRUPC!$D8),1,0)</f>
        <v>0</v>
      </c>
      <c r="D6" s="293">
        <f>IF(AND($A6=1,GRUPC!$B8&lt;GRUPC!$D8),1,0)</f>
        <v>0</v>
      </c>
      <c r="E6" s="293" t="e">
        <f>IF(VLOOKUP(GRUPC!$A8,$N$2:$U$19,8,FALSE)=VLOOKUP(GRUPC!$E8,$N$2:$U$19,8,FALSE),1,0)</f>
        <v>#N/A</v>
      </c>
      <c r="F6" s="294" t="e">
        <f t="shared" si="0"/>
        <v>#N/A</v>
      </c>
      <c r="G6" s="294" t="e">
        <f>IF($E6=1,GRUPC!$B8-GRUPC!$D8,0)</f>
        <v>#N/A</v>
      </c>
      <c r="H6" s="294" t="e">
        <f>IF($E6=1,GRUPC!$D8,0)</f>
        <v>#N/A</v>
      </c>
      <c r="I6" s="287"/>
      <c r="J6" s="287"/>
      <c r="K6" s="290"/>
      <c r="L6" s="402"/>
      <c r="M6" s="402"/>
      <c r="N6" s="291"/>
      <c r="O6" s="290"/>
      <c r="P6" s="290"/>
      <c r="Q6" s="290"/>
      <c r="R6" s="290"/>
      <c r="S6" s="290"/>
      <c r="T6" s="290"/>
      <c r="U6" s="292"/>
      <c r="V6" s="290"/>
      <c r="W6" s="290"/>
      <c r="X6" s="290"/>
    </row>
    <row r="7" spans="1:24" x14ac:dyDescent="0.2">
      <c r="A7" s="293">
        <f>IF(OR(ISBLANK(GRUPC!$B9),ISBLANK(GRUPC!$D9)),0,1)</f>
        <v>0</v>
      </c>
      <c r="B7" s="293">
        <f>IF(AND($A7=1,GRUPC!$B9&gt;GRUPC!$D9),1,0)</f>
        <v>0</v>
      </c>
      <c r="C7" s="293">
        <f>IF(AND($A7=1,GRUPC!$B9=GRUPC!$D9),1,0)</f>
        <v>0</v>
      </c>
      <c r="D7" s="293">
        <f>IF(AND($A7=1,GRUPC!$B9&lt;GRUPC!$D9),1,0)</f>
        <v>0</v>
      </c>
      <c r="E7" s="293" t="e">
        <f>IF(VLOOKUP(GRUPC!$A9,$N$2:$U$19,8,FALSE)=VLOOKUP(GRUPC!$E9,$N$2:$U$19,8,FALSE),1,0)</f>
        <v>#N/A</v>
      </c>
      <c r="F7" s="294" t="e">
        <f t="shared" si="0"/>
        <v>#N/A</v>
      </c>
      <c r="G7" s="294" t="e">
        <f>IF($E7=1,GRUPC!$B9-GRUPC!$D9,0)</f>
        <v>#N/A</v>
      </c>
      <c r="H7" s="294" t="e">
        <f>IF($E7=1,GRUPC!$D9,0)</f>
        <v>#N/A</v>
      </c>
      <c r="I7" s="287"/>
      <c r="J7" s="287"/>
      <c r="K7" s="290"/>
      <c r="L7" s="402"/>
      <c r="M7" s="402"/>
      <c r="N7" s="291"/>
      <c r="O7" s="290"/>
      <c r="P7" s="290"/>
      <c r="Q7" s="290"/>
      <c r="R7" s="290"/>
      <c r="S7" s="290"/>
      <c r="T7" s="290"/>
      <c r="U7" s="292"/>
      <c r="V7" s="290"/>
      <c r="W7" s="290"/>
      <c r="X7" s="290"/>
    </row>
    <row r="8" spans="1:24" x14ac:dyDescent="0.2">
      <c r="A8" s="293">
        <f>IF(OR(ISBLANK(GRUPC!$B10),ISBLANK(GRUPC!$D10)),0,1)</f>
        <v>0</v>
      </c>
      <c r="B8" s="293">
        <f>IF(AND($A8=1,GRUPC!$B10&gt;GRUPC!$D10),1,0)</f>
        <v>0</v>
      </c>
      <c r="C8" s="293">
        <f>IF(AND($A8=1,GRUPC!$B10=GRUPC!$D10),1,0)</f>
        <v>0</v>
      </c>
      <c r="D8" s="293">
        <f>IF(AND($A8=1,GRUPC!$B10&lt;GRUPC!$D10),1,0)</f>
        <v>0</v>
      </c>
      <c r="E8" s="293" t="e">
        <f>IF(VLOOKUP(GRUPC!$A10,$N$2:$U$19,8,FALSE)=VLOOKUP(GRUPC!$E10,$N$2:$U$19,8,FALSE),1,0)</f>
        <v>#N/A</v>
      </c>
      <c r="F8" s="294" t="e">
        <f t="shared" si="0"/>
        <v>#N/A</v>
      </c>
      <c r="G8" s="294" t="e">
        <f>IF($E8=1,GRUPC!$B10-GRUPC!$D10,0)</f>
        <v>#N/A</v>
      </c>
      <c r="H8" s="294" t="e">
        <f>IF($E8=1,GRUPC!$D10,0)</f>
        <v>#N/A</v>
      </c>
      <c r="I8" s="287"/>
      <c r="J8" s="287"/>
      <c r="K8" s="290"/>
      <c r="L8" s="402"/>
      <c r="M8" s="402"/>
      <c r="N8" s="291"/>
      <c r="O8" s="290"/>
      <c r="P8" s="290"/>
      <c r="Q8" s="290"/>
      <c r="R8" s="290"/>
      <c r="S8" s="290"/>
      <c r="T8" s="290"/>
      <c r="U8" s="292"/>
      <c r="V8" s="290"/>
      <c r="W8" s="290"/>
      <c r="X8" s="290"/>
    </row>
    <row r="9" spans="1:24" x14ac:dyDescent="0.2">
      <c r="A9" s="293">
        <f>IF(OR(ISBLANK(GRUPC!$B11),ISBLANK(GRUPC!$D11)),0,1)</f>
        <v>0</v>
      </c>
      <c r="B9" s="293">
        <f>IF(AND($A9=1,GRUPC!$B11&gt;GRUPC!$D11),1,0)</f>
        <v>0</v>
      </c>
      <c r="C9" s="293">
        <f>IF(AND($A9=1,GRUPC!$B11=GRUPC!$D11),1,0)</f>
        <v>0</v>
      </c>
      <c r="D9" s="293">
        <f>IF(AND($A9=1,GRUPC!$B11&lt;GRUPC!$D11),1,0)</f>
        <v>0</v>
      </c>
      <c r="E9" s="293" t="e">
        <f>IF(VLOOKUP(GRUPC!$A11,$N$2:$U$19,8,FALSE)=VLOOKUP(GRUPC!$E11,$N$2:$U$19,8,FALSE),1,0)</f>
        <v>#N/A</v>
      </c>
      <c r="F9" s="294" t="e">
        <f t="shared" si="0"/>
        <v>#N/A</v>
      </c>
      <c r="G9" s="294" t="e">
        <f>IF($E9=1,GRUPC!$B11-GRUPC!$D11,0)</f>
        <v>#N/A</v>
      </c>
      <c r="H9" s="294" t="e">
        <f>IF($E9=1,GRUPC!$D11,0)</f>
        <v>#N/A</v>
      </c>
      <c r="I9" s="287"/>
      <c r="J9" s="287"/>
      <c r="K9" s="290"/>
      <c r="L9" s="402"/>
      <c r="M9" s="402"/>
      <c r="N9" s="291"/>
      <c r="O9" s="290"/>
      <c r="P9" s="290"/>
      <c r="Q9" s="290"/>
      <c r="R9" s="290"/>
      <c r="S9" s="290"/>
      <c r="T9" s="290"/>
      <c r="U9" s="292"/>
      <c r="V9" s="290"/>
      <c r="W9" s="290"/>
      <c r="X9" s="290"/>
    </row>
    <row r="10" spans="1:24" x14ac:dyDescent="0.2">
      <c r="A10" s="293">
        <f>IF(OR(ISBLANK(GRUPC!$B12),ISBLANK(GRUPC!$D12)),0,1)</f>
        <v>0</v>
      </c>
      <c r="B10" s="293">
        <f>IF(AND($A10=1,GRUPC!$B12&gt;GRUPC!$D12),1,0)</f>
        <v>0</v>
      </c>
      <c r="C10" s="293">
        <f>IF(AND($A10=1,GRUPC!$B12=GRUPC!$D12),1,0)</f>
        <v>0</v>
      </c>
      <c r="D10" s="293">
        <f>IF(AND($A10=1,GRUPC!$B12&lt;GRUPC!$D12),1,0)</f>
        <v>0</v>
      </c>
      <c r="E10" s="293" t="e">
        <f>IF(VLOOKUP(GRUPC!$A12,$N$2:$U$19,8,FALSE)=VLOOKUP(GRUPC!$E12,$N$2:$U$19,8,FALSE),1,0)</f>
        <v>#N/A</v>
      </c>
      <c r="F10" s="294" t="e">
        <f t="shared" si="0"/>
        <v>#N/A</v>
      </c>
      <c r="G10" s="294" t="e">
        <f>IF($E10=1,GRUPC!$B12-GRUPC!$D12,0)</f>
        <v>#N/A</v>
      </c>
      <c r="H10" s="294" t="e">
        <f>IF($E10=1,GRUPC!$D12,0)</f>
        <v>#N/A</v>
      </c>
      <c r="I10" s="287"/>
      <c r="J10" s="287"/>
      <c r="K10" s="290"/>
      <c r="L10" s="402"/>
      <c r="M10" s="402"/>
      <c r="N10" s="291"/>
      <c r="O10" s="290"/>
      <c r="P10" s="290"/>
      <c r="Q10" s="290"/>
      <c r="R10" s="290"/>
      <c r="S10" s="290"/>
      <c r="T10" s="290"/>
      <c r="U10" s="292"/>
      <c r="V10" s="290"/>
      <c r="W10" s="290"/>
      <c r="X10" s="290"/>
    </row>
    <row r="11" spans="1:24" x14ac:dyDescent="0.2">
      <c r="A11" s="293">
        <f>IF(OR(ISBLANK(GRUPC!$B13),ISBLANK(GRUPC!$D13)),0,1)</f>
        <v>0</v>
      </c>
      <c r="B11" s="293">
        <f>IF(AND($A11=1,GRUPC!$B13&gt;GRUPC!$D13),1,0)</f>
        <v>0</v>
      </c>
      <c r="C11" s="293">
        <f>IF(AND($A11=1,GRUPC!$B13=GRUPC!$D13),1,0)</f>
        <v>0</v>
      </c>
      <c r="D11" s="293">
        <f>IF(AND($A11=1,GRUPC!$B13&lt;GRUPC!$D13),1,0)</f>
        <v>0</v>
      </c>
      <c r="E11" s="293" t="e">
        <f>IF(VLOOKUP(GRUPC!$A13,$N$2:$U$19,8,FALSE)=VLOOKUP(GRUPC!$E13,$N$2:$U$19,8,FALSE),1,0)</f>
        <v>#N/A</v>
      </c>
      <c r="F11" s="294" t="e">
        <f t="shared" si="0"/>
        <v>#N/A</v>
      </c>
      <c r="G11" s="294" t="e">
        <f>IF($E11=1,GRUPC!$B13-GRUPC!$D13,0)</f>
        <v>#N/A</v>
      </c>
      <c r="H11" s="294" t="e">
        <f>IF($E11=1,GRUPC!$D13,0)</f>
        <v>#N/A</v>
      </c>
      <c r="I11" s="287"/>
      <c r="J11" s="287"/>
      <c r="K11" s="290"/>
      <c r="L11" s="402"/>
      <c r="M11" s="402"/>
      <c r="N11" s="291"/>
      <c r="O11" s="290"/>
      <c r="P11" s="290"/>
      <c r="Q11" s="290"/>
      <c r="R11" s="290"/>
      <c r="S11" s="290"/>
      <c r="T11" s="290"/>
      <c r="U11" s="292"/>
      <c r="V11" s="290"/>
      <c r="W11" s="290"/>
      <c r="X11" s="290"/>
    </row>
    <row r="12" spans="1:24" x14ac:dyDescent="0.2">
      <c r="A12" s="293"/>
      <c r="B12" s="293"/>
      <c r="C12" s="293"/>
      <c r="D12" s="293"/>
      <c r="E12" s="293"/>
      <c r="F12" s="294"/>
      <c r="G12" s="294"/>
      <c r="H12" s="294"/>
      <c r="I12" s="287"/>
      <c r="J12" s="287"/>
      <c r="K12" s="290"/>
      <c r="L12" s="402"/>
      <c r="M12" s="402"/>
      <c r="N12" s="291"/>
      <c r="O12" s="290"/>
      <c r="P12" s="290"/>
      <c r="Q12" s="290"/>
      <c r="R12" s="290"/>
      <c r="S12" s="290"/>
      <c r="T12" s="290"/>
      <c r="U12" s="292"/>
      <c r="V12" s="290"/>
      <c r="W12" s="290"/>
      <c r="X12" s="290"/>
    </row>
    <row r="13" spans="1:24" x14ac:dyDescent="0.2">
      <c r="A13" s="293"/>
      <c r="B13" s="293"/>
      <c r="C13" s="293"/>
      <c r="D13" s="293"/>
      <c r="E13" s="293"/>
      <c r="F13" s="294"/>
      <c r="G13" s="294"/>
      <c r="H13" s="294"/>
      <c r="I13" s="287"/>
      <c r="J13" s="287"/>
      <c r="K13" s="290"/>
      <c r="L13" s="402"/>
      <c r="M13" s="402"/>
      <c r="N13" s="291"/>
      <c r="O13" s="290"/>
      <c r="P13" s="290"/>
      <c r="Q13" s="290"/>
      <c r="R13" s="290"/>
      <c r="S13" s="290"/>
      <c r="T13" s="290"/>
      <c r="U13" s="292"/>
      <c r="V13" s="290"/>
      <c r="W13" s="290"/>
      <c r="X13" s="290"/>
    </row>
    <row r="14" spans="1:24" x14ac:dyDescent="0.2">
      <c r="A14" s="293">
        <f>IF(OR(ISBLANK(GRUPC!$B16),ISBLANK(GRUPC!$D16)),0,1)</f>
        <v>1</v>
      </c>
      <c r="B14" s="293">
        <f>IF(AND($A14=1,GRUPC!$B16&gt;GRUPC!$D16),1,0)</f>
        <v>0</v>
      </c>
      <c r="C14" s="293">
        <f>IF(AND($A14=1,GRUPC!$B16=GRUPC!$D16),1,0)</f>
        <v>0</v>
      </c>
      <c r="D14" s="293">
        <f>IF(AND($A14=1,GRUPC!$B16&lt;GRUPC!$D16),1,0)</f>
        <v>1</v>
      </c>
      <c r="E14" s="293" t="e">
        <f>IF(VLOOKUP(GRUPC!$A16,$N$2:$U$19,8,FALSE)=VLOOKUP(GRUPC!$E16,$N$2:$U$19,8,FALSE),1,0)</f>
        <v>#REF!</v>
      </c>
      <c r="F14" s="294" t="e">
        <f t="shared" ref="F14:F22" si="1">IF($E14=1,2*$B14-2*$D14,0)</f>
        <v>#REF!</v>
      </c>
      <c r="G14" s="294" t="e">
        <f>IF($E14=1,GRUPC!$B16-GRUPC!$D16,0)</f>
        <v>#REF!</v>
      </c>
      <c r="H14" s="294" t="e">
        <f>IF($E14=1,GRUPC!$D16,0)</f>
        <v>#REF!</v>
      </c>
      <c r="I14" s="287"/>
      <c r="J14" s="287"/>
      <c r="K14" s="290"/>
      <c r="L14" s="402"/>
      <c r="M14" s="402"/>
      <c r="N14" s="291"/>
      <c r="O14" s="290"/>
      <c r="P14" s="290"/>
      <c r="Q14" s="290"/>
      <c r="R14" s="290"/>
      <c r="S14" s="290"/>
      <c r="T14" s="290"/>
      <c r="U14" s="292"/>
      <c r="V14" s="290"/>
      <c r="W14" s="290"/>
      <c r="X14" s="290"/>
    </row>
    <row r="15" spans="1:24" x14ac:dyDescent="0.2">
      <c r="A15" s="293">
        <f>IF(OR(ISBLANK(GRUPC!$B17),ISBLANK(GRUPC!$D17)),0,1)</f>
        <v>1</v>
      </c>
      <c r="B15" s="293">
        <f>IF(AND($A15=1,GRUPC!$B17&gt;GRUPC!$D17),1,0)</f>
        <v>0</v>
      </c>
      <c r="C15" s="293">
        <f>IF(AND($A15=1,GRUPC!$B17=GRUPC!$D17),1,0)</f>
        <v>0</v>
      </c>
      <c r="D15" s="293">
        <f>IF(AND($A15=1,GRUPC!$B17&lt;GRUPC!$D17),1,0)</f>
        <v>1</v>
      </c>
      <c r="E15" s="293" t="e">
        <f>IF(VLOOKUP(GRUPC!$A17,$N$2:$U$19,8,FALSE)=VLOOKUP(GRUPC!$E17,$N$2:$U$19,8,FALSE),1,0)</f>
        <v>#REF!</v>
      </c>
      <c r="F15" s="294" t="e">
        <f t="shared" si="1"/>
        <v>#REF!</v>
      </c>
      <c r="G15" s="294" t="e">
        <f>IF($E15=1,GRUPC!$B17-GRUPC!$D17,0)</f>
        <v>#REF!</v>
      </c>
      <c r="H15" s="294" t="e">
        <f>IF($E15=1,GRUPC!$D17,0)</f>
        <v>#REF!</v>
      </c>
      <c r="I15" s="287"/>
      <c r="J15" s="287"/>
      <c r="K15" s="290"/>
      <c r="L15" s="402"/>
      <c r="M15" s="402"/>
      <c r="N15" s="291"/>
      <c r="O15" s="290"/>
      <c r="P15" s="290"/>
      <c r="Q15" s="290"/>
      <c r="R15" s="290"/>
      <c r="S15" s="290"/>
      <c r="T15" s="290"/>
      <c r="U15" s="292"/>
      <c r="V15" s="290"/>
      <c r="W15" s="290"/>
      <c r="X15" s="290"/>
    </row>
    <row r="16" spans="1:24" x14ac:dyDescent="0.2">
      <c r="A16" s="293">
        <f>IF(OR(ISBLANK(GRUPC!$B18),ISBLANK(GRUPC!$D18)),0,1)</f>
        <v>0</v>
      </c>
      <c r="B16" s="293">
        <f>IF(AND($A16=1,GRUPC!$B18&gt;GRUPC!$D18),1,0)</f>
        <v>0</v>
      </c>
      <c r="C16" s="293">
        <f>IF(AND($A16=1,GRUPC!$B18=GRUPC!$D18),1,0)</f>
        <v>0</v>
      </c>
      <c r="D16" s="293">
        <f>IF(AND($A16=1,GRUPC!$B18&lt;GRUPC!$D18),1,0)</f>
        <v>0</v>
      </c>
      <c r="E16" s="293" t="e">
        <f>IF(VLOOKUP(GRUPC!$A18,$N$2:$U$19,8,FALSE)=VLOOKUP(GRUPC!$E18,$N$2:$U$19,8,FALSE),1,0)</f>
        <v>#N/A</v>
      </c>
      <c r="F16" s="294" t="e">
        <f t="shared" si="1"/>
        <v>#N/A</v>
      </c>
      <c r="G16" s="294" t="e">
        <f>IF($E16=1,GRUPC!$B18-GRUPC!$D18,0)</f>
        <v>#N/A</v>
      </c>
      <c r="H16" s="294" t="e">
        <f>IF($E16=1,GRUPC!$D18,0)</f>
        <v>#N/A</v>
      </c>
      <c r="I16" s="287"/>
      <c r="J16" s="287"/>
      <c r="K16" s="290"/>
      <c r="L16" s="402"/>
      <c r="M16" s="402"/>
      <c r="N16" s="291"/>
      <c r="O16" s="290"/>
      <c r="P16" s="290"/>
      <c r="Q16" s="290"/>
      <c r="R16" s="290"/>
      <c r="S16" s="290"/>
      <c r="T16" s="290"/>
      <c r="U16" s="292"/>
      <c r="V16" s="290"/>
      <c r="W16" s="290"/>
      <c r="X16" s="290"/>
    </row>
    <row r="17" spans="1:24" x14ac:dyDescent="0.2">
      <c r="A17" s="293">
        <f>IF(OR(ISBLANK(GRUPC!$B19),ISBLANK(GRUPC!$D19)),0,1)</f>
        <v>0</v>
      </c>
      <c r="B17" s="293">
        <f>IF(AND($A17=1,GRUPC!$B19&gt;GRUPC!$D19),1,0)</f>
        <v>0</v>
      </c>
      <c r="C17" s="293">
        <f>IF(AND($A17=1,GRUPC!$B19=GRUPC!$D19),1,0)</f>
        <v>0</v>
      </c>
      <c r="D17" s="293">
        <f>IF(AND($A17=1,GRUPC!$B19&lt;GRUPC!$D19),1,0)</f>
        <v>0</v>
      </c>
      <c r="E17" s="293" t="e">
        <f>IF(VLOOKUP(GRUPC!$A19,$N$2:$U$19,8,FALSE)=VLOOKUP(GRUPC!$E19,$N$2:$U$19,8,FALSE),1,0)</f>
        <v>#N/A</v>
      </c>
      <c r="F17" s="294" t="e">
        <f t="shared" si="1"/>
        <v>#N/A</v>
      </c>
      <c r="G17" s="294" t="e">
        <f>IF($E17=1,GRUPC!$B19-GRUPC!$D19,0)</f>
        <v>#N/A</v>
      </c>
      <c r="H17" s="294" t="e">
        <f>IF($E17=1,GRUPC!$D19,0)</f>
        <v>#N/A</v>
      </c>
      <c r="I17" s="287"/>
      <c r="J17" s="287"/>
      <c r="K17" s="290"/>
      <c r="L17" s="402"/>
      <c r="M17" s="402"/>
      <c r="N17" s="291"/>
      <c r="O17" s="290"/>
      <c r="P17" s="290"/>
      <c r="Q17" s="290"/>
      <c r="R17" s="290"/>
      <c r="S17" s="290"/>
      <c r="T17" s="290"/>
      <c r="U17" s="292"/>
      <c r="V17" s="290"/>
      <c r="W17" s="290"/>
      <c r="X17" s="290"/>
    </row>
    <row r="18" spans="1:24" x14ac:dyDescent="0.2">
      <c r="A18" s="293">
        <f>IF(OR(ISBLANK(GRUPC!$B20),ISBLANK(GRUPC!$D20)),0,1)</f>
        <v>0</v>
      </c>
      <c r="B18" s="293">
        <f>IF(AND($A18=1,GRUPC!$B20&gt;GRUPC!$D20),1,0)</f>
        <v>0</v>
      </c>
      <c r="C18" s="293">
        <f>IF(AND($A18=1,GRUPC!$B20=GRUPC!$D20),1,0)</f>
        <v>0</v>
      </c>
      <c r="D18" s="293">
        <f>IF(AND($A18=1,GRUPC!$B20&lt;GRUPC!$D20),1,0)</f>
        <v>0</v>
      </c>
      <c r="E18" s="293" t="e">
        <f>IF(VLOOKUP(GRUPC!$A20,$N$2:$U$19,8,FALSE)=VLOOKUP(GRUPC!$E20,$N$2:$U$19,8,FALSE),1,0)</f>
        <v>#N/A</v>
      </c>
      <c r="F18" s="294" t="e">
        <f t="shared" si="1"/>
        <v>#N/A</v>
      </c>
      <c r="G18" s="294" t="e">
        <f>IF($E18=1,GRUPC!$B20-GRUPC!$D20,0)</f>
        <v>#N/A</v>
      </c>
      <c r="H18" s="294" t="e">
        <f>IF($E18=1,GRUPC!$D20,0)</f>
        <v>#N/A</v>
      </c>
      <c r="I18" s="287"/>
      <c r="J18" s="287"/>
      <c r="K18" s="290"/>
      <c r="L18" s="402"/>
      <c r="M18" s="402"/>
      <c r="N18" s="291"/>
      <c r="O18" s="290"/>
      <c r="P18" s="290"/>
      <c r="Q18" s="290"/>
      <c r="R18" s="290"/>
      <c r="S18" s="290"/>
      <c r="T18" s="290"/>
      <c r="U18" s="292"/>
      <c r="V18" s="290"/>
      <c r="W18" s="290"/>
      <c r="X18" s="290"/>
    </row>
    <row r="19" spans="1:24" x14ac:dyDescent="0.2">
      <c r="A19" s="293">
        <f>IF(OR(ISBLANK(GRUPC!$B21),ISBLANK(GRUPC!$D21)),0,1)</f>
        <v>0</v>
      </c>
      <c r="B19" s="293">
        <f>IF(AND($A19=1,GRUPC!$B21&gt;GRUPC!$D21),1,0)</f>
        <v>0</v>
      </c>
      <c r="C19" s="293">
        <f>IF(AND($A19=1,GRUPC!$B21=GRUPC!$D21),1,0)</f>
        <v>0</v>
      </c>
      <c r="D19" s="293">
        <f>IF(AND($A19=1,GRUPC!$B21&lt;GRUPC!$D21),1,0)</f>
        <v>0</v>
      </c>
      <c r="E19" s="293" t="e">
        <f>IF(VLOOKUP(GRUPC!$A21,$N$2:$U$19,8,FALSE)=VLOOKUP(GRUPC!$E21,$N$2:$U$19,8,FALSE),1,0)</f>
        <v>#N/A</v>
      </c>
      <c r="F19" s="294" t="e">
        <f t="shared" si="1"/>
        <v>#N/A</v>
      </c>
      <c r="G19" s="294" t="e">
        <f>IF($E19=1,GRUPC!$B21-GRUPC!$D21,0)</f>
        <v>#N/A</v>
      </c>
      <c r="H19" s="294" t="e">
        <f>IF($E19=1,GRUPC!$D21,0)</f>
        <v>#N/A</v>
      </c>
      <c r="I19" s="287"/>
      <c r="J19" s="287"/>
      <c r="K19" s="290"/>
      <c r="L19" s="402"/>
      <c r="M19" s="402"/>
      <c r="N19" s="291"/>
      <c r="O19" s="290"/>
      <c r="P19" s="290"/>
      <c r="Q19" s="290"/>
      <c r="R19" s="290"/>
      <c r="S19" s="290"/>
      <c r="T19" s="290"/>
      <c r="U19" s="292"/>
      <c r="V19" s="290"/>
      <c r="W19" s="290"/>
      <c r="X19" s="290"/>
    </row>
    <row r="20" spans="1:24" x14ac:dyDescent="0.2">
      <c r="A20" s="293">
        <f>IF(OR(ISBLANK(GRUPC!$B22),ISBLANK(GRUPC!$D22)),0,1)</f>
        <v>0</v>
      </c>
      <c r="B20" s="293">
        <f>IF(AND($A20=1,GRUPC!$B22&gt;GRUPC!$D22),1,0)</f>
        <v>0</v>
      </c>
      <c r="C20" s="293">
        <f>IF(AND($A20=1,GRUPC!$B22=GRUPC!$D22),1,0)</f>
        <v>0</v>
      </c>
      <c r="D20" s="293">
        <f>IF(AND($A20=1,GRUPC!$B22&lt;GRUPC!$D22),1,0)</f>
        <v>0</v>
      </c>
      <c r="E20" s="293" t="e">
        <f>IF(VLOOKUP(GRUPC!$A22,$N$2:$U$19,8,FALSE)=VLOOKUP(GRUPC!$E22,$N$2:$U$19,8,FALSE),1,0)</f>
        <v>#N/A</v>
      </c>
      <c r="F20" s="294" t="e">
        <f t="shared" si="1"/>
        <v>#N/A</v>
      </c>
      <c r="G20" s="294" t="e">
        <f>IF($E20=1,GRUPC!$B22-GRUPC!$D22,0)</f>
        <v>#N/A</v>
      </c>
      <c r="H20" s="294" t="e">
        <f>IF($E20=1,GRUPC!$D22,0)</f>
        <v>#N/A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x14ac:dyDescent="0.2">
      <c r="A21" s="293">
        <f>IF(OR(ISBLANK(GRUPC!$B23),ISBLANK(GRUPC!$D23)),0,1)</f>
        <v>0</v>
      </c>
      <c r="B21" s="293">
        <f>IF(AND($A21=1,GRUPC!$B23&gt;GRUPC!$D23),1,0)</f>
        <v>0</v>
      </c>
      <c r="C21" s="293">
        <f>IF(AND($A21=1,GRUPC!$B23=GRUPC!$D23),1,0)</f>
        <v>0</v>
      </c>
      <c r="D21" s="293">
        <f>IF(AND($A21=1,GRUPC!$B23&lt;GRUPC!$D23),1,0)</f>
        <v>0</v>
      </c>
      <c r="E21" s="293" t="e">
        <f>IF(VLOOKUP(GRUPC!$A23,$N$2:$U$19,8,FALSE)=VLOOKUP(GRUPC!$E23,$N$2:$U$19,8,FALSE),1,0)</f>
        <v>#N/A</v>
      </c>
      <c r="F21" s="294" t="e">
        <f t="shared" si="1"/>
        <v>#N/A</v>
      </c>
      <c r="G21" s="294" t="e">
        <f>IF($E21=1,GRUPC!$B23-GRUPC!$D23,0)</f>
        <v>#N/A</v>
      </c>
      <c r="H21" s="294" t="e">
        <f>IF($E21=1,GRUPC!$D23,0)</f>
        <v>#N/A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x14ac:dyDescent="0.2">
      <c r="A22" s="293">
        <f>IF(OR(ISBLANK(GRUPC!$B24),ISBLANK(GRUPC!$D24)),0,1)</f>
        <v>0</v>
      </c>
      <c r="B22" s="293">
        <f>IF(AND($A22=1,GRUPC!$B24&gt;GRUPC!$D24),1,0)</f>
        <v>0</v>
      </c>
      <c r="C22" s="293">
        <f>IF(AND($A22=1,GRUPC!$B24=GRUPC!$D24),1,0)</f>
        <v>0</v>
      </c>
      <c r="D22" s="293">
        <f>IF(AND($A22=1,GRUPC!$B24&lt;GRUPC!$D24),1,0)</f>
        <v>0</v>
      </c>
      <c r="E22" s="293" t="e">
        <f>IF(VLOOKUP(GRUPC!$A24,$N$2:$U$19,8,FALSE)=VLOOKUP(GRUPC!$E24,$N$2:$U$19,8,FALSE),1,0)</f>
        <v>#N/A</v>
      </c>
      <c r="F22" s="294" t="e">
        <f t="shared" si="1"/>
        <v>#N/A</v>
      </c>
      <c r="G22" s="294" t="e">
        <f>IF($E22=1,GRUPC!$B24-GRUPC!$D24,0)</f>
        <v>#N/A</v>
      </c>
      <c r="H22" s="294" t="e">
        <f>IF($E22=1,GRUPC!$D24,0)</f>
        <v>#N/A</v>
      </c>
      <c r="I22" s="287"/>
      <c r="J22" s="287"/>
      <c r="K22" s="287"/>
      <c r="L22" s="287"/>
      <c r="M22" s="287"/>
      <c r="N22" s="295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x14ac:dyDescent="0.2">
      <c r="A23" s="293"/>
      <c r="B23" s="293"/>
      <c r="C23" s="293"/>
      <c r="D23" s="293"/>
      <c r="E23" s="293"/>
      <c r="F23" s="294"/>
      <c r="G23" s="294"/>
      <c r="H23" s="294"/>
      <c r="I23" s="287"/>
      <c r="J23" s="287"/>
      <c r="K23" s="287"/>
      <c r="L23" s="287"/>
      <c r="M23" s="287"/>
      <c r="N23" s="296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x14ac:dyDescent="0.2">
      <c r="A24" s="293"/>
      <c r="B24" s="293"/>
      <c r="C24" s="293"/>
      <c r="D24" s="293"/>
      <c r="E24" s="293"/>
      <c r="F24" s="294"/>
      <c r="G24" s="294"/>
      <c r="H24" s="294"/>
      <c r="I24" s="287"/>
      <c r="J24" s="287"/>
      <c r="K24" s="287"/>
      <c r="L24" s="287"/>
      <c r="M24" s="287"/>
      <c r="N24" s="296"/>
      <c r="O24" s="287"/>
      <c r="P24" s="287"/>
      <c r="Q24" s="287"/>
      <c r="R24" s="287"/>
      <c r="S24" s="287"/>
      <c r="T24" s="287"/>
      <c r="U24" s="287"/>
      <c r="V24" s="287"/>
      <c r="W24" s="297"/>
      <c r="X24" s="287"/>
    </row>
    <row r="25" spans="1:24" x14ac:dyDescent="0.2">
      <c r="A25" s="293">
        <f>IF(OR(ISBLANK(GRUPC!$B27),ISBLANK(GRUPC!$D27)),0,1)</f>
        <v>1</v>
      </c>
      <c r="B25" s="293">
        <f>IF(AND($A25=1,GRUPC!$B27&gt;GRUPC!$D27),1,0)</f>
        <v>0</v>
      </c>
      <c r="C25" s="293">
        <f>IF(AND($A25=1,GRUPC!$B27=GRUPC!$D27),1,0)</f>
        <v>0</v>
      </c>
      <c r="D25" s="293">
        <f>IF(AND($A25=1,GRUPC!$B27&lt;GRUPC!$D27),1,0)</f>
        <v>1</v>
      </c>
      <c r="E25" s="293" t="e">
        <f>IF(VLOOKUP(GRUPC!$A27,$N$2:$U$19,8,FALSE)=VLOOKUP(GRUPC!$E27,$N$2:$U$19,8,FALSE),1,0)</f>
        <v>#REF!</v>
      </c>
      <c r="F25" s="294" t="e">
        <f t="shared" ref="F25:F33" si="2">IF($E25=1,2*$B25-2*$D25,0)</f>
        <v>#REF!</v>
      </c>
      <c r="G25" s="294" t="e">
        <f>IF($E25=1,GRUPC!$B27-GRUPC!$D27,0)</f>
        <v>#REF!</v>
      </c>
      <c r="H25" s="294" t="e">
        <f>IF($E25=1,GRUPC!$D27,0)</f>
        <v>#REF!</v>
      </c>
      <c r="I25" s="287"/>
      <c r="J25" s="287"/>
      <c r="L25" s="298"/>
      <c r="M25" s="298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x14ac:dyDescent="0.2">
      <c r="A26" s="293">
        <f>IF(OR(ISBLANK(GRUPC!$B28),ISBLANK(GRUPC!$D28)),0,1)</f>
        <v>1</v>
      </c>
      <c r="B26" s="293">
        <f>IF(AND($A26=1,GRUPC!$B28&gt;GRUPC!$D28),1,0)</f>
        <v>1</v>
      </c>
      <c r="C26" s="293">
        <f>IF(AND($A26=1,GRUPC!$B28=GRUPC!$D28),1,0)</f>
        <v>0</v>
      </c>
      <c r="D26" s="293">
        <f>IF(AND($A26=1,GRUPC!$B28&lt;GRUPC!$D28),1,0)</f>
        <v>0</v>
      </c>
      <c r="E26" s="293" t="e">
        <f>IF(VLOOKUP(GRUPC!$A28,$N$2:$U$19,8,FALSE)=VLOOKUP(GRUPC!$E28,$N$2:$U$19,8,FALSE),1,0)</f>
        <v>#REF!</v>
      </c>
      <c r="F26" s="294" t="e">
        <f t="shared" si="2"/>
        <v>#REF!</v>
      </c>
      <c r="G26" s="294" t="e">
        <f>IF($E26=1,GRUPC!$B28-GRUPC!$D28,0)</f>
        <v>#REF!</v>
      </c>
      <c r="H26" s="294" t="e">
        <f>IF($E26=1,GRUPC!$D28,0)</f>
        <v>#REF!</v>
      </c>
      <c r="I26" s="287"/>
      <c r="J26" s="287"/>
      <c r="K26" s="298"/>
      <c r="L26" s="298"/>
      <c r="M26" s="298"/>
      <c r="N26" s="299"/>
      <c r="O26" s="287"/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x14ac:dyDescent="0.2">
      <c r="A27" s="293">
        <f>IF(OR(ISBLANK(GRUPC!$B29),ISBLANK(GRUPC!$D29)),0,1)</f>
        <v>0</v>
      </c>
      <c r="B27" s="293">
        <f>IF(AND($A27=1,GRUPC!$B29&gt;GRUPC!$D29),1,0)</f>
        <v>0</v>
      </c>
      <c r="C27" s="293">
        <f>IF(AND($A27=1,GRUPC!$B29=GRUPC!$D29),1,0)</f>
        <v>0</v>
      </c>
      <c r="D27" s="293">
        <f>IF(AND($A27=1,GRUPC!$B29&lt;GRUPC!$D29),1,0)</f>
        <v>0</v>
      </c>
      <c r="E27" s="293" t="e">
        <f>IF(VLOOKUP(GRUPC!$A29,$N$2:$U$19,8,FALSE)=VLOOKUP(GRUPC!$E29,$N$2:$U$19,8,FALSE),1,0)</f>
        <v>#N/A</v>
      </c>
      <c r="F27" s="294" t="e">
        <f t="shared" si="2"/>
        <v>#N/A</v>
      </c>
      <c r="G27" s="294" t="e">
        <f>IF($E27=1,GRUPC!$B29-GRUPC!$D29,0)</f>
        <v>#N/A</v>
      </c>
      <c r="H27" s="294" t="e">
        <f>IF($E27=1,GRUPC!$D29,0)</f>
        <v>#N/A</v>
      </c>
      <c r="I27" s="287"/>
      <c r="J27" s="287"/>
      <c r="K27" s="298"/>
      <c r="L27" s="298"/>
      <c r="M27" s="298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x14ac:dyDescent="0.2">
      <c r="A28" s="293">
        <f>IF(OR(ISBLANK(GRUPC!#REF!),ISBLANK(GRUPC!#REF!)),0,1)</f>
        <v>1</v>
      </c>
      <c r="B28" s="293" t="e">
        <f>IF(AND($A28=1,GRUPC!#REF!&gt;GRUPC!#REF!),1,0)</f>
        <v>#REF!</v>
      </c>
      <c r="C28" s="293" t="e">
        <f>IF(AND($A28=1,GRUPC!#REF!=GRUPC!#REF!),1,0)</f>
        <v>#REF!</v>
      </c>
      <c r="D28" s="293" t="e">
        <f>IF(AND($A28=1,GRUPC!#REF!&lt;GRUPC!#REF!),1,0)</f>
        <v>#REF!</v>
      </c>
      <c r="E28" s="293" t="e">
        <f>IF(VLOOKUP(GRUPC!#REF!,$N$2:$U$19,8,FALSE)=VLOOKUP(GRUPC!#REF!,$N$2:$U$19,8,FALSE),1,0)</f>
        <v>#REF!</v>
      </c>
      <c r="F28" s="294" t="e">
        <f t="shared" si="2"/>
        <v>#REF!</v>
      </c>
      <c r="G28" s="294" t="e">
        <f>IF($E28=1,GRUPC!#REF!-GRUPC!#REF!,0)</f>
        <v>#REF!</v>
      </c>
      <c r="H28" s="294" t="e">
        <f>IF($E28=1,GRUPC!#REF!,0)</f>
        <v>#REF!</v>
      </c>
      <c r="I28" s="287"/>
      <c r="J28" s="287"/>
      <c r="K28" s="298"/>
      <c r="L28" s="298"/>
      <c r="M28" s="298"/>
      <c r="O28" s="287"/>
      <c r="P28" s="287"/>
      <c r="Q28" s="287"/>
      <c r="R28" s="287"/>
      <c r="S28" s="287"/>
      <c r="T28" s="287"/>
      <c r="U28" s="287"/>
      <c r="V28" s="287"/>
      <c r="W28" s="297"/>
      <c r="X28" s="287"/>
    </row>
    <row r="29" spans="1:24" x14ac:dyDescent="0.2">
      <c r="A29" s="293">
        <f>IF(OR(ISBLANK(GRUPC!#REF!),ISBLANK(GRUPC!#REF!)),0,1)</f>
        <v>1</v>
      </c>
      <c r="B29" s="293" t="e">
        <f>IF(AND($A29=1,GRUPC!#REF!&gt;GRUPC!#REF!),1,0)</f>
        <v>#REF!</v>
      </c>
      <c r="C29" s="293" t="e">
        <f>IF(AND($A29=1,GRUPC!#REF!=GRUPC!#REF!),1,0)</f>
        <v>#REF!</v>
      </c>
      <c r="D29" s="293" t="e">
        <f>IF(AND($A29=1,GRUPC!#REF!&lt;GRUPC!#REF!),1,0)</f>
        <v>#REF!</v>
      </c>
      <c r="E29" s="293" t="e">
        <f>IF(VLOOKUP(GRUPC!#REF!,$N$2:$U$19,8,FALSE)=VLOOKUP(GRUPC!#REF!,$N$2:$U$19,8,FALSE),1,0)</f>
        <v>#REF!</v>
      </c>
      <c r="F29" s="294" t="e">
        <f t="shared" si="2"/>
        <v>#REF!</v>
      </c>
      <c r="G29" s="294" t="e">
        <f>IF($E29=1,GRUPC!#REF!-GRUPC!#REF!,0)</f>
        <v>#REF!</v>
      </c>
      <c r="H29" s="294" t="e">
        <f>IF($E29=1,GRUPC!#REF!,0)</f>
        <v>#REF!</v>
      </c>
      <c r="I29" s="287"/>
      <c r="J29" s="287"/>
      <c r="K29" s="298"/>
      <c r="L29" s="298"/>
      <c r="M29" s="298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x14ac:dyDescent="0.2">
      <c r="A30" s="293">
        <f>IF(OR(ISBLANK(GRUPC!#REF!),ISBLANK(GRUPC!#REF!)),0,1)</f>
        <v>1</v>
      </c>
      <c r="B30" s="293" t="e">
        <f>IF(AND($A30=1,GRUPC!#REF!&gt;GRUPC!#REF!),1,0)</f>
        <v>#REF!</v>
      </c>
      <c r="C30" s="293" t="e">
        <f>IF(AND($A30=1,GRUPC!#REF!=GRUPC!#REF!),1,0)</f>
        <v>#REF!</v>
      </c>
      <c r="D30" s="293" t="e">
        <f>IF(AND($A30=1,GRUPC!#REF!&lt;GRUPC!#REF!),1,0)</f>
        <v>#REF!</v>
      </c>
      <c r="E30" s="293" t="e">
        <f>IF(VLOOKUP(GRUPC!#REF!,$N$2:$U$19,8,FALSE)=VLOOKUP(GRUPC!#REF!,$N$2:$U$19,8,FALSE),1,0)</f>
        <v>#REF!</v>
      </c>
      <c r="F30" s="294" t="e">
        <f t="shared" si="2"/>
        <v>#REF!</v>
      </c>
      <c r="G30" s="294" t="e">
        <f>IF($E30=1,GRUPC!#REF!-GRUPC!#REF!,0)</f>
        <v>#REF!</v>
      </c>
      <c r="H30" s="294" t="e">
        <f>IF($E30=1,GRUPC!#REF!,0)</f>
        <v>#REF!</v>
      </c>
      <c r="I30" s="287"/>
      <c r="J30" s="287"/>
      <c r="K30" s="298"/>
      <c r="L30" s="298"/>
      <c r="M30" s="298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x14ac:dyDescent="0.2">
      <c r="A31" s="293">
        <f>IF(OR(ISBLANK(GRUPC!#REF!),ISBLANK(GRUPC!#REF!)),0,1)</f>
        <v>1</v>
      </c>
      <c r="B31" s="293" t="e">
        <f>IF(AND($A31=1,GRUPC!#REF!&gt;GRUPC!#REF!),1,0)</f>
        <v>#REF!</v>
      </c>
      <c r="C31" s="293" t="e">
        <f>IF(AND($A31=1,GRUPC!#REF!=GRUPC!#REF!),1,0)</f>
        <v>#REF!</v>
      </c>
      <c r="D31" s="293" t="e">
        <f>IF(AND($A31=1,GRUPC!#REF!&lt;GRUPC!#REF!),1,0)</f>
        <v>#REF!</v>
      </c>
      <c r="E31" s="293" t="e">
        <f>IF(VLOOKUP(GRUPC!#REF!,$N$2:$U$19,8,FALSE)=VLOOKUP(GRUPC!#REF!,$N$2:$U$19,8,FALSE),1,0)</f>
        <v>#REF!</v>
      </c>
      <c r="F31" s="294" t="e">
        <f t="shared" si="2"/>
        <v>#REF!</v>
      </c>
      <c r="G31" s="294" t="e">
        <f>IF($E31=1,GRUPC!#REF!-GRUPC!#REF!,0)</f>
        <v>#REF!</v>
      </c>
      <c r="H31" s="294" t="e">
        <f>IF($E31=1,GRUPC!#REF!,0)</f>
        <v>#REF!</v>
      </c>
      <c r="I31" s="287"/>
      <c r="J31" s="287"/>
      <c r="K31" s="298"/>
      <c r="L31" s="298"/>
      <c r="M31" s="298"/>
      <c r="N31" s="299"/>
      <c r="O31" s="287"/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x14ac:dyDescent="0.2">
      <c r="A32" s="293">
        <f>IF(OR(ISBLANK(GRUPC!#REF!),ISBLANK(GRUPC!#REF!)),0,1)</f>
        <v>1</v>
      </c>
      <c r="B32" s="293" t="e">
        <f>IF(AND($A32=1,GRUPC!#REF!&gt;GRUPC!#REF!),1,0)</f>
        <v>#REF!</v>
      </c>
      <c r="C32" s="293" t="e">
        <f>IF(AND($A32=1,GRUPC!#REF!=GRUPC!#REF!),1,0)</f>
        <v>#REF!</v>
      </c>
      <c r="D32" s="293" t="e">
        <f>IF(AND($A32=1,GRUPC!#REF!&lt;GRUPC!#REF!),1,0)</f>
        <v>#REF!</v>
      </c>
      <c r="E32" s="293" t="e">
        <f>IF(VLOOKUP(GRUPC!#REF!,$N$2:$U$19,8,FALSE)=VLOOKUP(GRUPC!#REF!,$N$2:$U$19,8,FALSE),1,0)</f>
        <v>#REF!</v>
      </c>
      <c r="F32" s="294" t="e">
        <f t="shared" si="2"/>
        <v>#REF!</v>
      </c>
      <c r="G32" s="294" t="e">
        <f>IF($E32=1,GRUPC!#REF!-GRUPC!#REF!,0)</f>
        <v>#REF!</v>
      </c>
      <c r="H32" s="294" t="e">
        <f>IF($E32=1,GRUPC!#REF!,0)</f>
        <v>#REF!</v>
      </c>
      <c r="I32" s="287"/>
      <c r="J32" s="287"/>
      <c r="K32" s="299"/>
      <c r="L32" s="298"/>
      <c r="M32" s="298"/>
      <c r="N32" s="299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4" x14ac:dyDescent="0.2">
      <c r="A33" s="293">
        <f>IF(OR(ISBLANK(GRUPC!#REF!),ISBLANK(GRUPC!#REF!)),0,1)</f>
        <v>1</v>
      </c>
      <c r="B33" s="293" t="e">
        <f>IF(AND($A33=1,GRUPC!#REF!&gt;GRUPC!#REF!),1,0)</f>
        <v>#REF!</v>
      </c>
      <c r="C33" s="293" t="e">
        <f>IF(AND($A33=1,GRUPC!#REF!=GRUPC!#REF!),1,0)</f>
        <v>#REF!</v>
      </c>
      <c r="D33" s="293" t="e">
        <f>IF(AND($A33=1,GRUPC!#REF!&lt;GRUPC!#REF!),1,0)</f>
        <v>#REF!</v>
      </c>
      <c r="E33" s="293" t="e">
        <f>IF(VLOOKUP(GRUPC!#REF!,$N$2:$U$19,8,FALSE)=VLOOKUP(GRUPC!#REF!,$N$2:$U$19,8,FALSE),1,0)</f>
        <v>#REF!</v>
      </c>
      <c r="F33" s="294" t="e">
        <f t="shared" si="2"/>
        <v>#REF!</v>
      </c>
      <c r="G33" s="294" t="e">
        <f>IF($E33=1,GRUPC!#REF!-GRUPC!#REF!,0)</f>
        <v>#REF!</v>
      </c>
      <c r="H33" s="294" t="e">
        <f>IF($E33=1,GRUPC!#REF!,0)</f>
        <v>#REF!</v>
      </c>
      <c r="I33" s="287"/>
      <c r="J33" s="287"/>
      <c r="K33" s="298"/>
      <c r="L33" s="298"/>
      <c r="M33" s="298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x14ac:dyDescent="0.2">
      <c r="A34" s="293"/>
      <c r="B34" s="293"/>
      <c r="C34" s="293"/>
      <c r="D34" s="293"/>
      <c r="E34" s="293"/>
      <c r="F34" s="294"/>
      <c r="G34" s="294"/>
      <c r="H34" s="294"/>
      <c r="I34" s="287"/>
      <c r="J34" s="287"/>
      <c r="K34" s="299"/>
      <c r="L34" s="287"/>
      <c r="M34" s="287"/>
      <c r="N34" s="295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1:24" x14ac:dyDescent="0.2">
      <c r="A35" s="293"/>
      <c r="B35" s="293"/>
      <c r="C35" s="293"/>
      <c r="D35" s="293"/>
      <c r="E35" s="293"/>
      <c r="F35" s="294"/>
      <c r="G35" s="294"/>
      <c r="H35" s="294"/>
      <c r="I35" s="287"/>
      <c r="J35" s="287"/>
      <c r="K35" s="299"/>
      <c r="L35" s="287"/>
      <c r="M35" s="287"/>
      <c r="N35" s="296"/>
      <c r="O35" s="287"/>
      <c r="P35" s="287"/>
      <c r="Q35" s="287"/>
      <c r="R35" s="287"/>
      <c r="S35" s="287"/>
      <c r="T35" s="287"/>
      <c r="U35" s="287"/>
      <c r="V35" s="287"/>
      <c r="W35" s="287"/>
      <c r="X35" s="287"/>
    </row>
    <row r="36" spans="1:24" x14ac:dyDescent="0.2">
      <c r="A36" s="293">
        <f>IF(OR(ISBLANK(GRUPC!#REF!),ISBLANK(GRUPC!#REF!)),0,1)</f>
        <v>1</v>
      </c>
      <c r="B36" s="293" t="e">
        <f>IF(AND($A36=1,GRUPC!#REF!&gt;GRUPC!#REF!),1,0)</f>
        <v>#REF!</v>
      </c>
      <c r="C36" s="293" t="e">
        <f>IF(AND($A36=1,GRUPC!#REF!=GRUPC!#REF!),1,0)</f>
        <v>#REF!</v>
      </c>
      <c r="D36" s="293" t="e">
        <f>IF(AND($A36=1,GRUPC!#REF!&lt;GRUPC!#REF!),1,0)</f>
        <v>#REF!</v>
      </c>
      <c r="E36" s="293" t="e">
        <f>IF(VLOOKUP(GRUPC!#REF!,$N$2:$U$19,8,FALSE)=VLOOKUP(GRUPC!#REF!,$N$2:$U$19,8,FALSE),1,0)</f>
        <v>#REF!</v>
      </c>
      <c r="F36" s="294" t="e">
        <f t="shared" ref="F36:F44" si="3">IF($E36=1,2*$B36-2*$D36,0)</f>
        <v>#REF!</v>
      </c>
      <c r="G36" s="294" t="e">
        <f>IF($E36=1,GRUPC!#REF!-GRUPC!#REF!,0)</f>
        <v>#REF!</v>
      </c>
      <c r="H36" s="294" t="e">
        <f>IF($E36=1,GRUPC!#REF!,0)</f>
        <v>#REF!</v>
      </c>
      <c r="I36" s="287"/>
      <c r="J36" s="287"/>
      <c r="K36" s="298"/>
      <c r="L36" s="287"/>
      <c r="M36" s="287"/>
      <c r="N36" s="296"/>
      <c r="O36" s="287"/>
      <c r="P36" s="287"/>
      <c r="Q36" s="287"/>
      <c r="R36" s="287"/>
      <c r="S36" s="287"/>
      <c r="T36" s="287"/>
      <c r="U36" s="287"/>
      <c r="V36" s="287"/>
      <c r="W36" s="287"/>
      <c r="X36" s="287"/>
    </row>
    <row r="37" spans="1:24" x14ac:dyDescent="0.2">
      <c r="A37" s="293">
        <f>IF(OR(ISBLANK(GRUPC!#REF!),ISBLANK(GRUPC!#REF!)),0,1)</f>
        <v>1</v>
      </c>
      <c r="B37" s="293" t="e">
        <f>IF(AND($A37=1,GRUPC!#REF!&gt;GRUPC!#REF!),1,0)</f>
        <v>#REF!</v>
      </c>
      <c r="C37" s="293" t="e">
        <f>IF(AND($A37=1,GRUPC!#REF!=GRUPC!#REF!),1,0)</f>
        <v>#REF!</v>
      </c>
      <c r="D37" s="293" t="e">
        <f>IF(AND($A37=1,GRUPC!#REF!&lt;GRUPC!#REF!),1,0)</f>
        <v>#REF!</v>
      </c>
      <c r="E37" s="293" t="e">
        <f>IF(VLOOKUP(GRUPC!#REF!,$N$2:$U$19,8,FALSE)=VLOOKUP(GRUPC!#REF!,$N$2:$U$19,8,FALSE),1,0)</f>
        <v>#REF!</v>
      </c>
      <c r="F37" s="294" t="e">
        <f t="shared" si="3"/>
        <v>#REF!</v>
      </c>
      <c r="G37" s="294" t="e">
        <f>IF($E37=1,GRUPC!#REF!-GRUPC!#REF!,0)</f>
        <v>#REF!</v>
      </c>
      <c r="H37" s="294" t="e">
        <f>IF($E37=1,GRUPC!#REF!,0)</f>
        <v>#REF!</v>
      </c>
      <c r="I37" s="287"/>
      <c r="J37" s="287"/>
      <c r="K37" s="299"/>
      <c r="L37" s="287"/>
      <c r="M37" s="287"/>
      <c r="N37" s="296"/>
      <c r="O37" s="287"/>
      <c r="P37" s="287"/>
      <c r="Q37" s="287"/>
      <c r="R37" s="287"/>
      <c r="S37" s="287"/>
      <c r="T37" s="287"/>
      <c r="U37" s="287"/>
      <c r="V37" s="287"/>
      <c r="W37" s="287"/>
      <c r="X37" s="287"/>
    </row>
    <row r="38" spans="1:24" x14ac:dyDescent="0.2">
      <c r="A38" s="293">
        <f>IF(OR(ISBLANK(GRUPC!#REF!),ISBLANK(GRUPC!#REF!)),0,1)</f>
        <v>1</v>
      </c>
      <c r="B38" s="293" t="e">
        <f>IF(AND($A38=1,GRUPC!#REF!&gt;GRUPC!#REF!),1,0)</f>
        <v>#REF!</v>
      </c>
      <c r="C38" s="293" t="e">
        <f>IF(AND($A38=1,GRUPC!#REF!=GRUPC!#REF!),1,0)</f>
        <v>#REF!</v>
      </c>
      <c r="D38" s="293" t="e">
        <f>IF(AND($A38=1,GRUPC!#REF!&lt;GRUPC!#REF!),1,0)</f>
        <v>#REF!</v>
      </c>
      <c r="E38" s="293" t="e">
        <f>IF(VLOOKUP(GRUPC!#REF!,$N$2:$U$19,8,FALSE)=VLOOKUP(GRUPC!#REF!,$N$2:$U$19,8,FALSE),1,0)</f>
        <v>#REF!</v>
      </c>
      <c r="F38" s="294" t="e">
        <f t="shared" si="3"/>
        <v>#REF!</v>
      </c>
      <c r="G38" s="294" t="e">
        <f>IF($E38=1,GRUPC!#REF!-GRUPC!#REF!,0)</f>
        <v>#REF!</v>
      </c>
      <c r="H38" s="294" t="e">
        <f>IF($E38=1,GRUPC!#REF!,0)</f>
        <v>#REF!</v>
      </c>
      <c r="I38" s="287"/>
      <c r="J38" s="287"/>
      <c r="K38" s="299"/>
      <c r="L38" s="287"/>
      <c r="M38" s="287"/>
      <c r="N38" s="296"/>
      <c r="O38" s="287"/>
      <c r="P38" s="287"/>
      <c r="Q38" s="287"/>
      <c r="R38" s="287"/>
      <c r="S38" s="287"/>
      <c r="T38" s="287"/>
      <c r="U38" s="287"/>
      <c r="V38" s="287"/>
      <c r="W38" s="287"/>
      <c r="X38" s="287"/>
    </row>
    <row r="39" spans="1:24" x14ac:dyDescent="0.2">
      <c r="A39" s="293">
        <f>IF(OR(ISBLANK(GRUPC!#REF!),ISBLANK(GRUPC!#REF!)),0,1)</f>
        <v>1</v>
      </c>
      <c r="B39" s="293" t="e">
        <f>IF(AND($A39=1,GRUPC!#REF!&gt;GRUPC!#REF!),1,0)</f>
        <v>#REF!</v>
      </c>
      <c r="C39" s="293" t="e">
        <f>IF(AND($A39=1,GRUPC!#REF!=GRUPC!#REF!),1,0)</f>
        <v>#REF!</v>
      </c>
      <c r="D39" s="293" t="e">
        <f>IF(AND($A39=1,GRUPC!#REF!&lt;GRUPC!#REF!),1,0)</f>
        <v>#REF!</v>
      </c>
      <c r="E39" s="293" t="e">
        <f>IF(VLOOKUP(GRUPC!#REF!,$N$2:$U$19,8,FALSE)=VLOOKUP(GRUPC!#REF!,$N$2:$U$19,8,FALSE),1,0)</f>
        <v>#REF!</v>
      </c>
      <c r="F39" s="294" t="e">
        <f t="shared" si="3"/>
        <v>#REF!</v>
      </c>
      <c r="G39" s="294" t="e">
        <f>IF($E39=1,GRUPC!#REF!-GRUPC!#REF!,0)</f>
        <v>#REF!</v>
      </c>
      <c r="H39" s="294" t="e">
        <f>IF($E39=1,GRUPC!#REF!,0)</f>
        <v>#REF!</v>
      </c>
      <c r="I39" s="287"/>
      <c r="J39" s="287"/>
      <c r="K39" s="299"/>
      <c r="L39" s="287"/>
      <c r="M39" s="287"/>
      <c r="N39" s="296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1:24" x14ac:dyDescent="0.2">
      <c r="A40" s="293">
        <f>IF(OR(ISBLANK(GRUPC!#REF!),ISBLANK(GRUPC!#REF!)),0,1)</f>
        <v>1</v>
      </c>
      <c r="B40" s="293" t="e">
        <f>IF(AND($A40=1,GRUPC!#REF!&gt;GRUPC!#REF!),1,0)</f>
        <v>#REF!</v>
      </c>
      <c r="C40" s="293" t="e">
        <f>IF(AND($A40=1,GRUPC!#REF!=GRUPC!#REF!),1,0)</f>
        <v>#REF!</v>
      </c>
      <c r="D40" s="293" t="e">
        <f>IF(AND($A40=1,GRUPC!#REF!&lt;GRUPC!#REF!),1,0)</f>
        <v>#REF!</v>
      </c>
      <c r="E40" s="293" t="e">
        <f>IF(VLOOKUP(GRUPC!#REF!,$N$2:$U$19,8,FALSE)=VLOOKUP(GRUPC!#REF!,$N$2:$U$19,8,FALSE),1,0)</f>
        <v>#REF!</v>
      </c>
      <c r="F40" s="294" t="e">
        <f t="shared" si="3"/>
        <v>#REF!</v>
      </c>
      <c r="G40" s="294" t="e">
        <f>IF($E40=1,GRUPC!#REF!-GRUPC!#REF!,0)</f>
        <v>#REF!</v>
      </c>
      <c r="H40" s="294" t="e">
        <f>IF($E40=1,GRUPC!#REF!,0)</f>
        <v>#REF!</v>
      </c>
      <c r="I40" s="287"/>
      <c r="J40" s="287"/>
      <c r="K40" s="287"/>
      <c r="L40" s="287"/>
      <c r="M40" s="287"/>
      <c r="N40" s="296"/>
      <c r="O40" s="287"/>
      <c r="P40" s="287"/>
      <c r="Q40" s="287"/>
      <c r="R40" s="287"/>
      <c r="S40" s="287"/>
      <c r="T40" s="287"/>
      <c r="U40" s="287"/>
      <c r="V40" s="287"/>
      <c r="W40" s="287"/>
      <c r="X40" s="287"/>
    </row>
    <row r="41" spans="1:24" x14ac:dyDescent="0.2">
      <c r="A41" s="293">
        <f>IF(OR(ISBLANK(GRUPC!#REF!),ISBLANK(GRUPC!#REF!)),0,1)</f>
        <v>1</v>
      </c>
      <c r="B41" s="293" t="e">
        <f>IF(AND($A41=1,GRUPC!#REF!&gt;GRUPC!#REF!),1,0)</f>
        <v>#REF!</v>
      </c>
      <c r="C41" s="293" t="e">
        <f>IF(AND($A41=1,GRUPC!#REF!=GRUPC!#REF!),1,0)</f>
        <v>#REF!</v>
      </c>
      <c r="D41" s="293" t="e">
        <f>IF(AND($A41=1,GRUPC!#REF!&lt;GRUPC!#REF!),1,0)</f>
        <v>#REF!</v>
      </c>
      <c r="E41" s="293" t="e">
        <f>IF(VLOOKUP(GRUPC!#REF!,$N$2:$U$19,8,FALSE)=VLOOKUP(GRUPC!#REF!,$N$2:$U$19,8,FALSE),1,0)</f>
        <v>#REF!</v>
      </c>
      <c r="F41" s="294" t="e">
        <f t="shared" si="3"/>
        <v>#REF!</v>
      </c>
      <c r="G41" s="294" t="e">
        <f>IF($E41=1,GRUPC!#REF!-GRUPC!#REF!,0)</f>
        <v>#REF!</v>
      </c>
      <c r="H41" s="294" t="e">
        <f>IF($E41=1,GRUPC!#REF!,0)</f>
        <v>#REF!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1:24" x14ac:dyDescent="0.2">
      <c r="A42" s="293">
        <f>IF(OR(ISBLANK(GRUPC!#REF!),ISBLANK(GRUPC!#REF!)),0,1)</f>
        <v>1</v>
      </c>
      <c r="B42" s="293" t="e">
        <f>IF(AND($A42=1,GRUPC!#REF!&gt;GRUPC!#REF!),1,0)</f>
        <v>#REF!</v>
      </c>
      <c r="C42" s="293" t="e">
        <f>IF(AND($A42=1,GRUPC!#REF!=GRUPC!#REF!),1,0)</f>
        <v>#REF!</v>
      </c>
      <c r="D42" s="293" t="e">
        <f>IF(AND($A42=1,GRUPC!#REF!&lt;GRUPC!#REF!),1,0)</f>
        <v>#REF!</v>
      </c>
      <c r="E42" s="293" t="e">
        <f>IF(VLOOKUP(GRUPC!#REF!,$N$2:$U$19,8,FALSE)=VLOOKUP(GRUPC!#REF!,$N$2:$U$19,8,FALSE),1,0)</f>
        <v>#REF!</v>
      </c>
      <c r="F42" s="294" t="e">
        <f t="shared" si="3"/>
        <v>#REF!</v>
      </c>
      <c r="G42" s="294" t="e">
        <f>IF($E42=1,GRUPC!#REF!-GRUPC!#REF!,0)</f>
        <v>#REF!</v>
      </c>
      <c r="H42" s="294" t="e">
        <f>IF($E42=1,GRUPC!#REF!,0)</f>
        <v>#REF!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</row>
    <row r="43" spans="1:24" x14ac:dyDescent="0.2">
      <c r="A43" s="293">
        <f>IF(OR(ISBLANK(GRUPC!#REF!),ISBLANK(GRUPC!#REF!)),0,1)</f>
        <v>1</v>
      </c>
      <c r="B43" s="293" t="e">
        <f>IF(AND($A43=1,GRUPC!#REF!&gt;GRUPC!#REF!),1,0)</f>
        <v>#REF!</v>
      </c>
      <c r="C43" s="293" t="e">
        <f>IF(AND($A43=1,GRUPC!#REF!=GRUPC!#REF!),1,0)</f>
        <v>#REF!</v>
      </c>
      <c r="D43" s="293" t="e">
        <f>IF(AND($A43=1,GRUPC!#REF!&lt;GRUPC!#REF!),1,0)</f>
        <v>#REF!</v>
      </c>
      <c r="E43" s="293" t="e">
        <f>IF(VLOOKUP(GRUPC!#REF!,$N$2:$U$19,8,FALSE)=VLOOKUP(GRUPC!#REF!,$N$2:$U$19,8,FALSE),1,0)</f>
        <v>#REF!</v>
      </c>
      <c r="F43" s="294" t="e">
        <f t="shared" si="3"/>
        <v>#REF!</v>
      </c>
      <c r="G43" s="294" t="e">
        <f>IF($E43=1,GRUPC!#REF!-GRUPC!#REF!,0)</f>
        <v>#REF!</v>
      </c>
      <c r="H43" s="294" t="e">
        <f>IF($E43=1,GRUPC!#REF!,0)</f>
        <v>#REF!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</row>
    <row r="44" spans="1:24" x14ac:dyDescent="0.2">
      <c r="A44" s="293">
        <f>IF(OR(ISBLANK(GRUPC!#REF!),ISBLANK(GRUPC!#REF!)),0,1)</f>
        <v>1</v>
      </c>
      <c r="B44" s="293" t="e">
        <f>IF(AND($A44=1,GRUPC!#REF!&gt;GRUPC!#REF!),1,0)</f>
        <v>#REF!</v>
      </c>
      <c r="C44" s="293" t="e">
        <f>IF(AND($A44=1,GRUPC!#REF!=GRUPC!#REF!),1,0)</f>
        <v>#REF!</v>
      </c>
      <c r="D44" s="293" t="e">
        <f>IF(AND($A44=1,GRUPC!#REF!&lt;GRUPC!#REF!),1,0)</f>
        <v>#REF!</v>
      </c>
      <c r="E44" s="293" t="e">
        <f>IF(VLOOKUP(GRUPC!#REF!,$N$2:$U$19,8,FALSE)=VLOOKUP(GRUPC!#REF!,$N$2:$U$19,8,FALSE),1,0)</f>
        <v>#REF!</v>
      </c>
      <c r="F44" s="294" t="e">
        <f t="shared" si="3"/>
        <v>#REF!</v>
      </c>
      <c r="G44" s="294" t="e">
        <f>IF($E44=1,GRUPC!#REF!-GRUPC!#REF!,0)</f>
        <v>#REF!</v>
      </c>
      <c r="H44" s="294" t="e">
        <f>IF($E44=1,GRUPC!#REF!,0)</f>
        <v>#REF!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</row>
    <row r="45" spans="1:24" x14ac:dyDescent="0.2">
      <c r="A45" s="293"/>
      <c r="B45" s="293"/>
      <c r="C45" s="293"/>
      <c r="D45" s="293"/>
      <c r="E45" s="293"/>
      <c r="F45" s="294"/>
      <c r="G45" s="294"/>
      <c r="H45" s="294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</row>
    <row r="46" spans="1:24" x14ac:dyDescent="0.2">
      <c r="A46" s="293"/>
      <c r="B46" s="293"/>
      <c r="C46" s="293"/>
      <c r="D46" s="293"/>
      <c r="E46" s="293"/>
      <c r="F46" s="294"/>
      <c r="G46" s="294"/>
      <c r="H46" s="294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1:24" x14ac:dyDescent="0.2">
      <c r="A47" s="293"/>
      <c r="B47" s="293"/>
      <c r="C47" s="293"/>
      <c r="D47" s="293"/>
      <c r="E47" s="293"/>
      <c r="F47" s="294"/>
      <c r="G47" s="294"/>
      <c r="H47" s="294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</row>
    <row r="48" spans="1:24" x14ac:dyDescent="0.2">
      <c r="A48" s="293"/>
      <c r="B48" s="293"/>
      <c r="C48" s="293"/>
      <c r="D48" s="293"/>
      <c r="E48" s="293"/>
      <c r="F48" s="294"/>
      <c r="G48" s="294"/>
      <c r="H48" s="294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1:24" x14ac:dyDescent="0.2">
      <c r="A49" s="293"/>
      <c r="B49" s="293"/>
      <c r="C49" s="293"/>
      <c r="D49" s="293"/>
      <c r="E49" s="293"/>
      <c r="F49" s="294"/>
      <c r="G49" s="294"/>
      <c r="H49" s="294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4" x14ac:dyDescent="0.2">
      <c r="A50" s="293"/>
      <c r="B50" s="293"/>
      <c r="C50" s="293"/>
      <c r="D50" s="293"/>
      <c r="E50" s="293"/>
      <c r="F50" s="294"/>
      <c r="G50" s="294"/>
      <c r="H50" s="294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</row>
    <row r="51" spans="1:24" x14ac:dyDescent="0.2">
      <c r="A51" s="293"/>
      <c r="B51" s="293"/>
      <c r="C51" s="293"/>
      <c r="D51" s="293"/>
      <c r="E51" s="293"/>
      <c r="F51" s="294"/>
      <c r="G51" s="294"/>
      <c r="H51" s="294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x14ac:dyDescent="0.2">
      <c r="A52" s="293"/>
      <c r="B52" s="293"/>
      <c r="C52" s="293"/>
      <c r="D52" s="293"/>
      <c r="E52" s="293"/>
      <c r="F52" s="294"/>
      <c r="G52" s="294"/>
      <c r="H52" s="294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x14ac:dyDescent="0.2">
      <c r="A53" s="293"/>
      <c r="B53" s="293"/>
      <c r="C53" s="293"/>
      <c r="D53" s="293"/>
      <c r="E53" s="293"/>
      <c r="F53" s="294"/>
      <c r="G53" s="294"/>
      <c r="H53" s="294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x14ac:dyDescent="0.2">
      <c r="A54" s="293"/>
      <c r="B54" s="293"/>
      <c r="C54" s="293"/>
      <c r="D54" s="293"/>
      <c r="E54" s="293"/>
      <c r="F54" s="294"/>
      <c r="G54" s="294"/>
      <c r="H54" s="294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x14ac:dyDescent="0.2">
      <c r="A55" s="293"/>
      <c r="B55" s="293"/>
      <c r="C55" s="293"/>
      <c r="D55" s="293"/>
      <c r="E55" s="293"/>
      <c r="F55" s="294"/>
      <c r="G55" s="294"/>
      <c r="H55" s="294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x14ac:dyDescent="0.2">
      <c r="A56" s="293"/>
      <c r="B56" s="293"/>
      <c r="C56" s="293"/>
      <c r="D56" s="293"/>
      <c r="E56" s="293"/>
      <c r="F56" s="294"/>
      <c r="G56" s="294"/>
      <c r="H56" s="294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x14ac:dyDescent="0.2">
      <c r="A57" s="293"/>
      <c r="B57" s="293"/>
      <c r="C57" s="293"/>
      <c r="D57" s="293"/>
      <c r="E57" s="293"/>
      <c r="F57" s="294"/>
      <c r="G57" s="294"/>
      <c r="H57" s="294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3"/>
      <c r="B58" s="293"/>
      <c r="C58" s="293"/>
      <c r="D58" s="293"/>
      <c r="E58" s="293"/>
      <c r="F58" s="294"/>
      <c r="G58" s="294"/>
      <c r="H58" s="294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x14ac:dyDescent="0.2">
      <c r="A59" s="293"/>
      <c r="B59" s="293"/>
      <c r="C59" s="293"/>
      <c r="D59" s="293"/>
      <c r="E59" s="293"/>
      <c r="F59" s="294"/>
      <c r="G59" s="294"/>
      <c r="H59" s="294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x14ac:dyDescent="0.2">
      <c r="A60" s="293"/>
      <c r="B60" s="293"/>
      <c r="C60" s="293"/>
      <c r="D60" s="293"/>
      <c r="E60" s="293"/>
      <c r="F60" s="294"/>
      <c r="G60" s="294"/>
      <c r="H60" s="294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x14ac:dyDescent="0.2">
      <c r="A61" s="293"/>
      <c r="B61" s="293"/>
      <c r="C61" s="293"/>
      <c r="D61" s="293"/>
      <c r="E61" s="293"/>
      <c r="F61" s="294"/>
      <c r="G61" s="294"/>
      <c r="H61" s="294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x14ac:dyDescent="0.2">
      <c r="A62" s="293"/>
      <c r="B62" s="293"/>
      <c r="C62" s="293"/>
      <c r="D62" s="293"/>
      <c r="E62" s="293"/>
      <c r="F62" s="294"/>
      <c r="G62" s="294"/>
      <c r="H62" s="294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x14ac:dyDescent="0.2">
      <c r="A63" s="293"/>
      <c r="B63" s="293"/>
      <c r="C63" s="293"/>
      <c r="D63" s="293"/>
      <c r="E63" s="293"/>
      <c r="F63" s="294"/>
      <c r="G63" s="294"/>
      <c r="H63" s="294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x14ac:dyDescent="0.2">
      <c r="A64" s="293"/>
      <c r="B64" s="293"/>
      <c r="C64" s="293"/>
      <c r="D64" s="293"/>
      <c r="E64" s="293"/>
      <c r="F64" s="294"/>
      <c r="G64" s="294"/>
      <c r="H64" s="294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x14ac:dyDescent="0.2">
      <c r="A65" s="293"/>
      <c r="B65" s="293"/>
      <c r="C65" s="293"/>
      <c r="D65" s="293"/>
      <c r="E65" s="293"/>
      <c r="F65" s="294"/>
      <c r="G65" s="294"/>
      <c r="H65" s="294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x14ac:dyDescent="0.2">
      <c r="A66" s="293"/>
      <c r="B66" s="293"/>
      <c r="C66" s="293"/>
      <c r="D66" s="293"/>
      <c r="E66" s="293"/>
      <c r="F66" s="294"/>
      <c r="G66" s="294"/>
      <c r="H66" s="294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x14ac:dyDescent="0.2">
      <c r="A67" s="293"/>
      <c r="B67" s="293"/>
      <c r="C67" s="293"/>
      <c r="D67" s="293"/>
      <c r="E67" s="293"/>
      <c r="F67" s="294"/>
      <c r="G67" s="294"/>
      <c r="H67" s="294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x14ac:dyDescent="0.2">
      <c r="A68" s="293"/>
      <c r="B68" s="293"/>
      <c r="C68" s="293"/>
      <c r="D68" s="293"/>
      <c r="E68" s="293"/>
      <c r="F68" s="294"/>
      <c r="G68" s="294"/>
      <c r="H68" s="294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x14ac:dyDescent="0.2">
      <c r="A69" s="293"/>
      <c r="B69" s="293"/>
      <c r="C69" s="293"/>
      <c r="D69" s="293"/>
      <c r="E69" s="293"/>
      <c r="F69" s="294"/>
      <c r="G69" s="294"/>
      <c r="H69" s="294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x14ac:dyDescent="0.2">
      <c r="A70" s="293"/>
      <c r="B70" s="293"/>
      <c r="C70" s="293"/>
      <c r="D70" s="293"/>
      <c r="E70" s="293"/>
      <c r="F70" s="294"/>
      <c r="G70" s="294"/>
      <c r="H70" s="294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x14ac:dyDescent="0.2">
      <c r="A71" s="293"/>
      <c r="B71" s="293"/>
      <c r="C71" s="293"/>
      <c r="D71" s="293"/>
      <c r="E71" s="293"/>
      <c r="F71" s="294"/>
      <c r="G71" s="294"/>
      <c r="H71" s="294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x14ac:dyDescent="0.2">
      <c r="A72" s="293"/>
      <c r="B72" s="293"/>
      <c r="C72" s="293"/>
      <c r="D72" s="293"/>
      <c r="E72" s="293"/>
      <c r="F72" s="294"/>
      <c r="G72" s="294"/>
      <c r="H72" s="294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x14ac:dyDescent="0.2">
      <c r="A73" s="293"/>
      <c r="B73" s="293"/>
      <c r="C73" s="293"/>
      <c r="D73" s="293"/>
      <c r="E73" s="293"/>
      <c r="F73" s="294"/>
      <c r="G73" s="294"/>
      <c r="H73" s="294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x14ac:dyDescent="0.2">
      <c r="A74" s="293"/>
      <c r="B74" s="293"/>
      <c r="C74" s="293"/>
      <c r="D74" s="293"/>
      <c r="E74" s="293"/>
      <c r="F74" s="294"/>
      <c r="G74" s="294"/>
      <c r="H74" s="294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x14ac:dyDescent="0.2">
      <c r="A75" s="293"/>
      <c r="B75" s="293"/>
      <c r="C75" s="293"/>
      <c r="D75" s="293"/>
      <c r="E75" s="293"/>
      <c r="F75" s="294"/>
      <c r="G75" s="294"/>
      <c r="H75" s="294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x14ac:dyDescent="0.2">
      <c r="A76" s="293"/>
      <c r="B76" s="293"/>
      <c r="C76" s="293"/>
      <c r="D76" s="293"/>
      <c r="E76" s="293"/>
      <c r="F76" s="294"/>
      <c r="G76" s="294"/>
      <c r="H76" s="294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x14ac:dyDescent="0.2">
      <c r="A77" s="293"/>
      <c r="B77" s="293"/>
      <c r="C77" s="293"/>
      <c r="D77" s="293"/>
      <c r="E77" s="293"/>
      <c r="F77" s="294"/>
      <c r="G77" s="294"/>
      <c r="H77" s="294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x14ac:dyDescent="0.2">
      <c r="A78" s="293"/>
      <c r="B78" s="293"/>
      <c r="C78" s="293"/>
      <c r="D78" s="293"/>
      <c r="E78" s="293"/>
      <c r="F78" s="294"/>
      <c r="G78" s="294"/>
      <c r="H78" s="294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x14ac:dyDescent="0.2">
      <c r="A79" s="293"/>
      <c r="B79" s="293"/>
      <c r="C79" s="293"/>
      <c r="D79" s="293"/>
      <c r="E79" s="293"/>
      <c r="F79" s="294"/>
      <c r="G79" s="294"/>
      <c r="H79" s="294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x14ac:dyDescent="0.2">
      <c r="A80" s="293"/>
      <c r="B80" s="293"/>
      <c r="C80" s="293"/>
      <c r="D80" s="293"/>
      <c r="E80" s="293"/>
      <c r="F80" s="294"/>
      <c r="G80" s="294"/>
      <c r="H80" s="294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x14ac:dyDescent="0.2">
      <c r="A81" s="293"/>
      <c r="B81" s="293"/>
      <c r="C81" s="293"/>
      <c r="D81" s="293"/>
      <c r="E81" s="293"/>
      <c r="F81" s="294"/>
      <c r="G81" s="294"/>
      <c r="H81" s="294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x14ac:dyDescent="0.2">
      <c r="A82" s="293"/>
      <c r="B82" s="293"/>
      <c r="C82" s="293"/>
      <c r="D82" s="293"/>
      <c r="E82" s="293"/>
      <c r="F82" s="294"/>
      <c r="G82" s="294"/>
      <c r="H82" s="294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3"/>
      <c r="B83" s="293"/>
      <c r="C83" s="293"/>
      <c r="D83" s="293"/>
      <c r="E83" s="293"/>
      <c r="F83" s="294"/>
      <c r="G83" s="294"/>
      <c r="H83" s="294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3"/>
      <c r="B84" s="293"/>
      <c r="C84" s="293"/>
      <c r="D84" s="293"/>
      <c r="E84" s="293"/>
      <c r="F84" s="294"/>
      <c r="G84" s="294"/>
      <c r="H84" s="294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3"/>
      <c r="B85" s="293"/>
      <c r="C85" s="293"/>
      <c r="D85" s="293"/>
      <c r="E85" s="293"/>
      <c r="F85" s="294"/>
      <c r="G85" s="294"/>
      <c r="H85" s="294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x14ac:dyDescent="0.2">
      <c r="A86" s="293"/>
      <c r="B86" s="293"/>
      <c r="C86" s="293"/>
      <c r="D86" s="293"/>
      <c r="E86" s="293"/>
      <c r="F86" s="294"/>
      <c r="G86" s="294"/>
      <c r="H86" s="294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x14ac:dyDescent="0.2">
      <c r="A87" s="293"/>
      <c r="B87" s="293"/>
      <c r="C87" s="293"/>
      <c r="D87" s="293"/>
      <c r="E87" s="293"/>
      <c r="F87" s="294"/>
      <c r="G87" s="294"/>
      <c r="H87" s="294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x14ac:dyDescent="0.2">
      <c r="A88" s="293"/>
      <c r="B88" s="293"/>
      <c r="C88" s="293"/>
      <c r="D88" s="293"/>
      <c r="E88" s="293"/>
      <c r="F88" s="294"/>
      <c r="G88" s="294"/>
      <c r="H88" s="294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x14ac:dyDescent="0.2">
      <c r="A89" s="293"/>
      <c r="B89" s="293"/>
      <c r="C89" s="293"/>
      <c r="D89" s="293"/>
      <c r="E89" s="293"/>
      <c r="F89" s="294"/>
      <c r="G89" s="294"/>
      <c r="H89" s="294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x14ac:dyDescent="0.2">
      <c r="A90" s="293"/>
      <c r="B90" s="293"/>
      <c r="C90" s="293"/>
      <c r="D90" s="293"/>
      <c r="E90" s="293"/>
      <c r="F90" s="294"/>
      <c r="G90" s="294"/>
      <c r="H90" s="294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x14ac:dyDescent="0.2">
      <c r="A91" s="293"/>
      <c r="B91" s="293"/>
      <c r="C91" s="293"/>
      <c r="D91" s="293"/>
      <c r="E91" s="293"/>
      <c r="F91" s="294"/>
      <c r="G91" s="294"/>
      <c r="H91" s="294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x14ac:dyDescent="0.2">
      <c r="A92" s="293"/>
      <c r="B92" s="293"/>
      <c r="C92" s="293"/>
      <c r="D92" s="293"/>
      <c r="E92" s="293"/>
      <c r="F92" s="294"/>
      <c r="G92" s="294"/>
      <c r="H92" s="294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x14ac:dyDescent="0.2">
      <c r="A93" s="293"/>
      <c r="B93" s="293"/>
      <c r="C93" s="293"/>
      <c r="D93" s="293"/>
      <c r="E93" s="293"/>
      <c r="F93" s="294"/>
      <c r="G93" s="294"/>
      <c r="H93" s="294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x14ac:dyDescent="0.2">
      <c r="A94" s="293"/>
      <c r="B94" s="293"/>
      <c r="C94" s="293"/>
      <c r="D94" s="293"/>
      <c r="E94" s="293"/>
      <c r="F94" s="294"/>
      <c r="G94" s="294"/>
      <c r="H94" s="294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x14ac:dyDescent="0.2">
      <c r="A95" s="293"/>
      <c r="B95" s="293"/>
      <c r="C95" s="293"/>
      <c r="D95" s="293"/>
      <c r="E95" s="293"/>
      <c r="F95" s="294"/>
      <c r="G95" s="294"/>
      <c r="H95" s="294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x14ac:dyDescent="0.2">
      <c r="A96" s="293"/>
      <c r="B96" s="293"/>
      <c r="C96" s="293"/>
      <c r="D96" s="293"/>
      <c r="E96" s="293"/>
      <c r="F96" s="294"/>
      <c r="G96" s="294"/>
      <c r="H96" s="294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x14ac:dyDescent="0.2">
      <c r="A97" s="293"/>
      <c r="B97" s="293"/>
      <c r="C97" s="293"/>
      <c r="D97" s="293"/>
      <c r="E97" s="293"/>
      <c r="F97" s="294"/>
      <c r="G97" s="294"/>
      <c r="H97" s="294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x14ac:dyDescent="0.2">
      <c r="A98" s="293"/>
      <c r="B98" s="293"/>
      <c r="C98" s="293"/>
      <c r="D98" s="293"/>
      <c r="E98" s="293"/>
      <c r="F98" s="294"/>
      <c r="G98" s="294"/>
      <c r="H98" s="294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x14ac:dyDescent="0.2">
      <c r="A99" s="293"/>
      <c r="B99" s="293"/>
      <c r="C99" s="293"/>
      <c r="D99" s="293"/>
      <c r="E99" s="293"/>
      <c r="F99" s="294"/>
      <c r="G99" s="294"/>
      <c r="H99" s="294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x14ac:dyDescent="0.2">
      <c r="A100" s="293"/>
      <c r="B100" s="293"/>
      <c r="C100" s="293"/>
      <c r="D100" s="293"/>
      <c r="E100" s="293"/>
      <c r="F100" s="294"/>
      <c r="G100" s="294"/>
      <c r="H100" s="294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x14ac:dyDescent="0.2">
      <c r="A101" s="293"/>
      <c r="B101" s="293"/>
      <c r="C101" s="293"/>
      <c r="D101" s="293"/>
      <c r="E101" s="293"/>
      <c r="F101" s="294"/>
      <c r="G101" s="294"/>
      <c r="H101" s="294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</row>
    <row r="102" spans="1:24" x14ac:dyDescent="0.2">
      <c r="A102" s="293"/>
      <c r="B102" s="293"/>
      <c r="C102" s="293"/>
      <c r="D102" s="293"/>
      <c r="E102" s="293"/>
      <c r="F102" s="294"/>
      <c r="G102" s="294"/>
      <c r="H102" s="294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x14ac:dyDescent="0.2">
      <c r="A103" s="293"/>
      <c r="B103" s="293"/>
      <c r="C103" s="293"/>
      <c r="D103" s="293"/>
      <c r="E103" s="293"/>
      <c r="F103" s="294"/>
      <c r="G103" s="294"/>
      <c r="H103" s="294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x14ac:dyDescent="0.2">
      <c r="A104" s="293"/>
      <c r="B104" s="293"/>
      <c r="C104" s="293"/>
      <c r="D104" s="293"/>
      <c r="E104" s="293"/>
      <c r="F104" s="294"/>
      <c r="G104" s="294"/>
      <c r="H104" s="294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x14ac:dyDescent="0.2">
      <c r="A105" s="293"/>
      <c r="B105" s="293"/>
      <c r="C105" s="293"/>
      <c r="D105" s="293"/>
      <c r="E105" s="293"/>
      <c r="F105" s="294"/>
      <c r="G105" s="294"/>
      <c r="H105" s="294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x14ac:dyDescent="0.2">
      <c r="A106" s="293"/>
      <c r="B106" s="293"/>
      <c r="C106" s="293"/>
      <c r="D106" s="293"/>
      <c r="E106" s="293"/>
      <c r="F106" s="294"/>
      <c r="G106" s="294"/>
      <c r="H106" s="294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x14ac:dyDescent="0.2">
      <c r="A107" s="293"/>
      <c r="B107" s="293"/>
      <c r="C107" s="293"/>
      <c r="D107" s="293"/>
      <c r="E107" s="293"/>
      <c r="F107" s="294"/>
      <c r="G107" s="294"/>
      <c r="H107" s="294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x14ac:dyDescent="0.2">
      <c r="A108" s="293"/>
      <c r="B108" s="293"/>
      <c r="C108" s="293"/>
      <c r="D108" s="293"/>
      <c r="E108" s="293"/>
      <c r="F108" s="294"/>
      <c r="G108" s="294"/>
      <c r="H108" s="294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x14ac:dyDescent="0.2">
      <c r="A109" s="293"/>
      <c r="B109" s="293"/>
      <c r="C109" s="293"/>
      <c r="D109" s="293"/>
      <c r="E109" s="293"/>
      <c r="F109" s="294"/>
      <c r="G109" s="294"/>
      <c r="H109" s="294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x14ac:dyDescent="0.2">
      <c r="A110" s="293"/>
      <c r="B110" s="293"/>
      <c r="C110" s="293"/>
      <c r="D110" s="293"/>
      <c r="E110" s="293"/>
      <c r="F110" s="294"/>
      <c r="G110" s="294"/>
      <c r="H110" s="294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x14ac:dyDescent="0.2">
      <c r="A111" s="293"/>
      <c r="B111" s="293"/>
      <c r="C111" s="293"/>
      <c r="D111" s="293"/>
      <c r="E111" s="293"/>
      <c r="F111" s="294"/>
      <c r="G111" s="294"/>
      <c r="H111" s="294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x14ac:dyDescent="0.2">
      <c r="A112" s="293"/>
      <c r="B112" s="293"/>
      <c r="C112" s="293"/>
      <c r="D112" s="293"/>
      <c r="E112" s="293"/>
      <c r="F112" s="294"/>
      <c r="G112" s="294"/>
      <c r="H112" s="294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x14ac:dyDescent="0.2">
      <c r="A113" s="293"/>
      <c r="B113" s="293"/>
      <c r="C113" s="293"/>
      <c r="D113" s="293"/>
      <c r="E113" s="293"/>
      <c r="F113" s="294"/>
      <c r="G113" s="294"/>
      <c r="H113" s="294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x14ac:dyDescent="0.2">
      <c r="A114" s="293"/>
      <c r="B114" s="293"/>
      <c r="C114" s="293"/>
      <c r="D114" s="293"/>
      <c r="E114" s="293"/>
      <c r="F114" s="294"/>
      <c r="G114" s="294"/>
      <c r="H114" s="294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</row>
    <row r="115" spans="1:24" x14ac:dyDescent="0.2">
      <c r="A115" s="293"/>
      <c r="B115" s="293"/>
      <c r="C115" s="293"/>
      <c r="D115" s="293"/>
      <c r="E115" s="293"/>
      <c r="F115" s="294"/>
      <c r="G115" s="294"/>
      <c r="H115" s="294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x14ac:dyDescent="0.2">
      <c r="A116" s="293"/>
      <c r="B116" s="293"/>
      <c r="C116" s="293"/>
      <c r="D116" s="293"/>
      <c r="E116" s="293"/>
      <c r="F116" s="294"/>
      <c r="G116" s="294"/>
      <c r="H116" s="294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</row>
    <row r="117" spans="1:24" x14ac:dyDescent="0.2">
      <c r="A117" s="293"/>
      <c r="B117" s="293"/>
      <c r="C117" s="293"/>
      <c r="D117" s="293"/>
      <c r="E117" s="293"/>
      <c r="F117" s="294"/>
      <c r="G117" s="294"/>
      <c r="H117" s="294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</row>
    <row r="118" spans="1:24" x14ac:dyDescent="0.2">
      <c r="A118" s="293"/>
      <c r="B118" s="293"/>
      <c r="C118" s="293"/>
      <c r="D118" s="293"/>
      <c r="E118" s="293"/>
      <c r="F118" s="294"/>
      <c r="G118" s="294"/>
      <c r="H118" s="294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x14ac:dyDescent="0.2">
      <c r="A119" s="293"/>
      <c r="B119" s="293"/>
      <c r="C119" s="293"/>
      <c r="D119" s="293"/>
      <c r="E119" s="293"/>
      <c r="F119" s="294"/>
      <c r="G119" s="294"/>
      <c r="H119" s="294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</row>
    <row r="120" spans="1:24" x14ac:dyDescent="0.2">
      <c r="A120" s="293"/>
      <c r="B120" s="293"/>
      <c r="C120" s="293"/>
      <c r="D120" s="293"/>
      <c r="E120" s="293"/>
      <c r="F120" s="294"/>
      <c r="G120" s="294"/>
      <c r="H120" s="294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x14ac:dyDescent="0.2">
      <c r="A121" s="293"/>
      <c r="B121" s="293"/>
      <c r="C121" s="293"/>
      <c r="D121" s="293"/>
      <c r="E121" s="293"/>
      <c r="F121" s="294"/>
      <c r="G121" s="294"/>
      <c r="H121" s="294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</row>
    <row r="122" spans="1:24" x14ac:dyDescent="0.2">
      <c r="A122" s="293"/>
      <c r="B122" s="293"/>
      <c r="C122" s="293"/>
      <c r="D122" s="293"/>
      <c r="E122" s="293"/>
      <c r="F122" s="294"/>
      <c r="G122" s="294"/>
      <c r="H122" s="294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</row>
    <row r="123" spans="1:24" x14ac:dyDescent="0.2">
      <c r="A123" s="293"/>
      <c r="B123" s="293"/>
      <c r="C123" s="293"/>
      <c r="D123" s="293"/>
      <c r="E123" s="293"/>
      <c r="F123" s="294"/>
      <c r="G123" s="294"/>
      <c r="H123" s="294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x14ac:dyDescent="0.2">
      <c r="A124" s="293"/>
      <c r="B124" s="293"/>
      <c r="C124" s="293"/>
      <c r="D124" s="293"/>
      <c r="E124" s="293"/>
      <c r="F124" s="294"/>
      <c r="G124" s="294"/>
      <c r="H124" s="294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x14ac:dyDescent="0.2">
      <c r="A125" s="293"/>
      <c r="B125" s="293"/>
      <c r="C125" s="293"/>
      <c r="D125" s="293"/>
      <c r="E125" s="293"/>
      <c r="F125" s="294"/>
      <c r="G125" s="294"/>
      <c r="H125" s="294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x14ac:dyDescent="0.2">
      <c r="A126" s="293"/>
      <c r="B126" s="293"/>
      <c r="C126" s="293"/>
      <c r="D126" s="293"/>
      <c r="E126" s="293"/>
      <c r="F126" s="294"/>
      <c r="G126" s="294"/>
      <c r="H126" s="294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x14ac:dyDescent="0.2">
      <c r="A127" s="293"/>
      <c r="B127" s="293"/>
      <c r="C127" s="293"/>
      <c r="D127" s="293"/>
      <c r="E127" s="293"/>
      <c r="F127" s="294"/>
      <c r="G127" s="294"/>
      <c r="H127" s="294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x14ac:dyDescent="0.2">
      <c r="A128" s="293"/>
      <c r="B128" s="293"/>
      <c r="C128" s="293"/>
      <c r="D128" s="293"/>
      <c r="E128" s="293"/>
      <c r="F128" s="294"/>
      <c r="G128" s="294"/>
      <c r="H128" s="294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x14ac:dyDescent="0.2">
      <c r="A129" s="293"/>
      <c r="B129" s="293"/>
      <c r="C129" s="293"/>
      <c r="D129" s="293"/>
      <c r="E129" s="293"/>
      <c r="F129" s="294"/>
      <c r="G129" s="294"/>
      <c r="H129" s="294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x14ac:dyDescent="0.2">
      <c r="A130" s="293"/>
      <c r="B130" s="293"/>
      <c r="C130" s="293"/>
      <c r="D130" s="293"/>
      <c r="E130" s="293"/>
      <c r="F130" s="294"/>
      <c r="G130" s="294"/>
      <c r="H130" s="294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x14ac:dyDescent="0.2">
      <c r="A131" s="293"/>
      <c r="B131" s="293"/>
      <c r="C131" s="293"/>
      <c r="D131" s="293"/>
      <c r="E131" s="293"/>
      <c r="F131" s="294"/>
      <c r="G131" s="294"/>
      <c r="H131" s="294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x14ac:dyDescent="0.2">
      <c r="A132" s="293"/>
      <c r="B132" s="293"/>
      <c r="C132" s="293"/>
      <c r="D132" s="293"/>
      <c r="E132" s="293"/>
      <c r="F132" s="294"/>
      <c r="G132" s="294"/>
      <c r="H132" s="294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x14ac:dyDescent="0.2">
      <c r="A133" s="293"/>
      <c r="B133" s="293"/>
      <c r="C133" s="293"/>
      <c r="D133" s="293"/>
      <c r="E133" s="293"/>
      <c r="F133" s="294"/>
      <c r="G133" s="294"/>
      <c r="H133" s="294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x14ac:dyDescent="0.2">
      <c r="A134" s="293"/>
      <c r="B134" s="293"/>
      <c r="C134" s="293"/>
      <c r="D134" s="293"/>
      <c r="E134" s="293"/>
      <c r="F134" s="294"/>
      <c r="G134" s="294"/>
      <c r="H134" s="294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</row>
    <row r="135" spans="1:24" x14ac:dyDescent="0.2">
      <c r="A135" s="293"/>
      <c r="B135" s="293"/>
      <c r="C135" s="293"/>
      <c r="D135" s="293"/>
      <c r="E135" s="293"/>
      <c r="F135" s="294"/>
      <c r="G135" s="294"/>
      <c r="H135" s="294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x14ac:dyDescent="0.2">
      <c r="A136" s="293"/>
      <c r="B136" s="293"/>
      <c r="C136" s="293"/>
      <c r="D136" s="293"/>
      <c r="E136" s="293"/>
      <c r="F136" s="294"/>
      <c r="G136" s="294"/>
      <c r="H136" s="294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x14ac:dyDescent="0.2">
      <c r="A137" s="293"/>
      <c r="B137" s="293"/>
      <c r="C137" s="293"/>
      <c r="D137" s="293"/>
      <c r="E137" s="293"/>
      <c r="F137" s="294"/>
      <c r="G137" s="294"/>
      <c r="H137" s="294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x14ac:dyDescent="0.2">
      <c r="A138" s="293"/>
      <c r="B138" s="293"/>
      <c r="C138" s="293"/>
      <c r="D138" s="293"/>
      <c r="E138" s="293"/>
      <c r="F138" s="294"/>
      <c r="G138" s="294"/>
      <c r="H138" s="294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x14ac:dyDescent="0.2">
      <c r="A139" s="293"/>
      <c r="B139" s="293"/>
      <c r="C139" s="293"/>
      <c r="D139" s="293"/>
      <c r="E139" s="293"/>
      <c r="F139" s="294"/>
      <c r="G139" s="294"/>
      <c r="H139" s="294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x14ac:dyDescent="0.2">
      <c r="A140" s="293"/>
      <c r="B140" s="293"/>
      <c r="C140" s="293"/>
      <c r="D140" s="293"/>
      <c r="E140" s="293"/>
      <c r="F140" s="294"/>
      <c r="G140" s="294"/>
      <c r="H140" s="294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x14ac:dyDescent="0.2">
      <c r="A141" s="293"/>
      <c r="B141" s="293"/>
      <c r="C141" s="293"/>
      <c r="D141" s="293"/>
      <c r="E141" s="293"/>
      <c r="F141" s="294"/>
      <c r="G141" s="294"/>
      <c r="H141" s="294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x14ac:dyDescent="0.2">
      <c r="A142" s="293"/>
      <c r="B142" s="293"/>
      <c r="C142" s="293"/>
      <c r="D142" s="293"/>
      <c r="E142" s="293"/>
      <c r="F142" s="294"/>
      <c r="G142" s="294"/>
      <c r="H142" s="294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x14ac:dyDescent="0.2">
      <c r="A143" s="293"/>
      <c r="B143" s="293"/>
      <c r="C143" s="293"/>
      <c r="D143" s="293"/>
      <c r="E143" s="293"/>
      <c r="F143" s="294"/>
      <c r="G143" s="294"/>
      <c r="H143" s="294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:24" x14ac:dyDescent="0.2">
      <c r="A144" s="293"/>
      <c r="B144" s="293"/>
      <c r="C144" s="293"/>
      <c r="D144" s="293"/>
      <c r="E144" s="293"/>
      <c r="F144" s="294"/>
      <c r="G144" s="294"/>
      <c r="H144" s="294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</row>
    <row r="145" spans="1:24" x14ac:dyDescent="0.2">
      <c r="A145" s="293"/>
      <c r="B145" s="293"/>
      <c r="C145" s="293"/>
      <c r="D145" s="293"/>
      <c r="E145" s="293"/>
      <c r="F145" s="294"/>
      <c r="G145" s="294"/>
      <c r="H145" s="294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</row>
    <row r="146" spans="1:24" x14ac:dyDescent="0.2">
      <c r="A146" s="293"/>
      <c r="B146" s="293"/>
      <c r="C146" s="293"/>
      <c r="D146" s="293"/>
      <c r="E146" s="293"/>
      <c r="F146" s="294"/>
      <c r="G146" s="294"/>
      <c r="H146" s="294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</row>
    <row r="147" spans="1:24" x14ac:dyDescent="0.2">
      <c r="A147" s="293"/>
      <c r="B147" s="293"/>
      <c r="C147" s="293"/>
      <c r="D147" s="293"/>
      <c r="E147" s="293"/>
      <c r="F147" s="294"/>
      <c r="G147" s="294"/>
      <c r="H147" s="294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</row>
    <row r="148" spans="1:24" x14ac:dyDescent="0.2">
      <c r="A148" s="293"/>
      <c r="B148" s="293"/>
      <c r="C148" s="293"/>
      <c r="D148" s="293"/>
      <c r="E148" s="293"/>
      <c r="F148" s="294"/>
      <c r="G148" s="294"/>
      <c r="H148" s="294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</row>
    <row r="149" spans="1:24" x14ac:dyDescent="0.2">
      <c r="A149" s="293"/>
      <c r="B149" s="293"/>
      <c r="C149" s="293"/>
      <c r="D149" s="293"/>
      <c r="E149" s="293"/>
      <c r="F149" s="294"/>
      <c r="G149" s="294"/>
      <c r="H149" s="294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</row>
    <row r="150" spans="1:24" x14ac:dyDescent="0.2">
      <c r="A150" s="293"/>
      <c r="B150" s="293"/>
      <c r="C150" s="293"/>
      <c r="D150" s="293"/>
      <c r="E150" s="293"/>
      <c r="F150" s="294"/>
      <c r="G150" s="294"/>
      <c r="H150" s="294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</row>
    <row r="151" spans="1:24" x14ac:dyDescent="0.2">
      <c r="A151" s="293"/>
      <c r="B151" s="293"/>
      <c r="C151" s="293"/>
      <c r="D151" s="293"/>
      <c r="E151" s="293"/>
      <c r="F151" s="294"/>
      <c r="G151" s="294"/>
      <c r="H151" s="294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</row>
    <row r="152" spans="1:24" x14ac:dyDescent="0.2">
      <c r="A152" s="293"/>
      <c r="B152" s="293"/>
      <c r="C152" s="293"/>
      <c r="D152" s="293"/>
      <c r="E152" s="293"/>
      <c r="F152" s="294"/>
      <c r="G152" s="294"/>
      <c r="H152" s="294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</row>
    <row r="153" spans="1:24" x14ac:dyDescent="0.2">
      <c r="A153" s="293"/>
      <c r="B153" s="293"/>
      <c r="C153" s="293"/>
      <c r="D153" s="293"/>
      <c r="E153" s="293"/>
      <c r="F153" s="294"/>
      <c r="G153" s="294"/>
      <c r="H153" s="294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</row>
    <row r="154" spans="1:24" x14ac:dyDescent="0.2">
      <c r="A154" s="293"/>
      <c r="B154" s="293"/>
      <c r="C154" s="293"/>
      <c r="D154" s="293"/>
      <c r="E154" s="293"/>
      <c r="F154" s="294"/>
      <c r="G154" s="294"/>
      <c r="H154" s="294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</row>
    <row r="155" spans="1:24" x14ac:dyDescent="0.2">
      <c r="A155" s="293"/>
      <c r="B155" s="293"/>
      <c r="C155" s="293"/>
      <c r="D155" s="293"/>
      <c r="E155" s="293"/>
      <c r="F155" s="294"/>
      <c r="G155" s="294"/>
      <c r="H155" s="294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</row>
    <row r="156" spans="1:24" x14ac:dyDescent="0.2">
      <c r="A156" s="293"/>
      <c r="B156" s="293"/>
      <c r="C156" s="293"/>
      <c r="D156" s="293"/>
      <c r="E156" s="293"/>
      <c r="F156" s="294"/>
      <c r="G156" s="294"/>
      <c r="H156" s="294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</row>
    <row r="157" spans="1:24" x14ac:dyDescent="0.2">
      <c r="A157" s="293"/>
      <c r="B157" s="293"/>
      <c r="C157" s="293"/>
      <c r="D157" s="293"/>
      <c r="E157" s="293"/>
      <c r="F157" s="294"/>
      <c r="G157" s="294"/>
      <c r="H157" s="294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</row>
    <row r="158" spans="1:24" x14ac:dyDescent="0.2">
      <c r="A158" s="293"/>
      <c r="B158" s="293"/>
      <c r="C158" s="293"/>
      <c r="D158" s="293"/>
      <c r="E158" s="293"/>
      <c r="F158" s="294"/>
      <c r="G158" s="294"/>
      <c r="H158" s="294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</row>
    <row r="159" spans="1:24" x14ac:dyDescent="0.2">
      <c r="A159" s="293"/>
      <c r="B159" s="293"/>
      <c r="C159" s="293"/>
      <c r="D159" s="293"/>
      <c r="E159" s="293"/>
      <c r="F159" s="294"/>
      <c r="G159" s="294"/>
      <c r="H159" s="294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</row>
    <row r="160" spans="1:24" x14ac:dyDescent="0.2">
      <c r="A160" s="293"/>
      <c r="B160" s="293"/>
      <c r="C160" s="293"/>
      <c r="D160" s="293"/>
      <c r="E160" s="293"/>
      <c r="F160" s="294"/>
      <c r="G160" s="294"/>
      <c r="H160" s="294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</row>
    <row r="161" spans="1:24" x14ac:dyDescent="0.2">
      <c r="A161" s="293"/>
      <c r="B161" s="293"/>
      <c r="C161" s="293"/>
      <c r="D161" s="293"/>
      <c r="E161" s="293"/>
      <c r="F161" s="294"/>
      <c r="G161" s="294"/>
      <c r="H161" s="294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</row>
    <row r="162" spans="1:24" x14ac:dyDescent="0.2">
      <c r="A162" s="293"/>
      <c r="B162" s="293"/>
      <c r="C162" s="293"/>
      <c r="D162" s="293"/>
      <c r="E162" s="293"/>
      <c r="F162" s="294"/>
      <c r="G162" s="294"/>
      <c r="H162" s="294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</row>
    <row r="163" spans="1:24" x14ac:dyDescent="0.2">
      <c r="A163" s="293"/>
      <c r="B163" s="293"/>
      <c r="C163" s="293"/>
      <c r="D163" s="293"/>
      <c r="E163" s="293"/>
      <c r="F163" s="294"/>
      <c r="G163" s="294"/>
      <c r="H163" s="294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</row>
    <row r="164" spans="1:24" x14ac:dyDescent="0.2">
      <c r="A164" s="293"/>
      <c r="B164" s="293"/>
      <c r="C164" s="293"/>
      <c r="D164" s="293"/>
      <c r="E164" s="293"/>
      <c r="F164" s="294"/>
      <c r="G164" s="294"/>
      <c r="H164" s="294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</row>
    <row r="165" spans="1:24" x14ac:dyDescent="0.2">
      <c r="A165" s="293"/>
      <c r="B165" s="293"/>
      <c r="C165" s="293"/>
      <c r="D165" s="293"/>
      <c r="E165" s="293"/>
      <c r="F165" s="294"/>
      <c r="G165" s="294"/>
      <c r="H165" s="294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</row>
    <row r="166" spans="1:24" x14ac:dyDescent="0.2">
      <c r="A166" s="293"/>
      <c r="B166" s="293"/>
      <c r="C166" s="293"/>
      <c r="D166" s="293"/>
      <c r="E166" s="293"/>
      <c r="F166" s="294"/>
      <c r="G166" s="294"/>
      <c r="H166" s="294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</row>
    <row r="167" spans="1:24" x14ac:dyDescent="0.2">
      <c r="A167" s="293"/>
      <c r="B167" s="293"/>
      <c r="C167" s="293"/>
      <c r="D167" s="293"/>
      <c r="E167" s="293"/>
      <c r="F167" s="294"/>
      <c r="G167" s="294"/>
      <c r="H167" s="294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</row>
    <row r="168" spans="1:24" x14ac:dyDescent="0.2">
      <c r="A168" s="293"/>
      <c r="B168" s="293"/>
      <c r="C168" s="293"/>
      <c r="D168" s="293"/>
      <c r="E168" s="293"/>
      <c r="F168" s="294"/>
      <c r="G168" s="294"/>
      <c r="H168" s="294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</row>
    <row r="169" spans="1:24" x14ac:dyDescent="0.2">
      <c r="A169" s="293"/>
      <c r="B169" s="293"/>
      <c r="C169" s="293"/>
      <c r="D169" s="293"/>
      <c r="E169" s="293"/>
      <c r="F169" s="294"/>
      <c r="G169" s="294"/>
      <c r="H169" s="294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</row>
    <row r="170" spans="1:24" x14ac:dyDescent="0.2">
      <c r="A170" s="293"/>
      <c r="B170" s="293"/>
      <c r="C170" s="293"/>
      <c r="D170" s="293"/>
      <c r="E170" s="293"/>
      <c r="F170" s="294"/>
      <c r="G170" s="294"/>
      <c r="H170" s="294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</row>
    <row r="171" spans="1:24" x14ac:dyDescent="0.2">
      <c r="A171" s="293"/>
      <c r="B171" s="293"/>
      <c r="C171" s="293"/>
      <c r="D171" s="293"/>
      <c r="E171" s="293"/>
      <c r="F171" s="294"/>
      <c r="G171" s="294"/>
      <c r="H171" s="294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</row>
    <row r="172" spans="1:24" x14ac:dyDescent="0.2">
      <c r="A172" s="293"/>
      <c r="B172" s="293"/>
      <c r="C172" s="293"/>
      <c r="D172" s="293"/>
      <c r="E172" s="293"/>
      <c r="F172" s="294"/>
      <c r="G172" s="294"/>
      <c r="H172" s="294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indexed="16"/>
  </sheetPr>
  <dimension ref="A1:X172"/>
  <sheetViews>
    <sheetView view="pageBreakPreview" topLeftCell="F1" zoomScale="50" zoomScaleSheetLayoutView="50" workbookViewId="0">
      <selection activeCell="L32" sqref="L32"/>
    </sheetView>
  </sheetViews>
  <sheetFormatPr defaultRowHeight="12.75" x14ac:dyDescent="0.2"/>
  <cols>
    <col min="1" max="6" width="9.42578125" customWidth="1"/>
    <col min="7" max="7" width="10.5703125" customWidth="1"/>
    <col min="8" max="8" width="14.85546875" customWidth="1"/>
    <col min="11" max="11" width="19.5703125" customWidth="1"/>
    <col min="14" max="14" width="26.7109375" customWidth="1"/>
    <col min="15" max="16" width="3" customWidth="1"/>
    <col min="17" max="17" width="2.85546875" customWidth="1"/>
    <col min="18" max="21" width="3" customWidth="1"/>
    <col min="22" max="22" width="10.5703125" customWidth="1"/>
    <col min="23" max="23" width="11.85546875" customWidth="1"/>
    <col min="24" max="24" width="12" customWidth="1"/>
    <col min="25" max="25" width="5.5703125" customWidth="1"/>
  </cols>
  <sheetData>
    <row r="1" spans="1:24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03"/>
      <c r="M1" s="403"/>
      <c r="N1" s="287"/>
      <c r="O1" s="288" t="s">
        <v>36</v>
      </c>
      <c r="P1" s="288" t="s">
        <v>11</v>
      </c>
      <c r="Q1" s="288" t="s">
        <v>12</v>
      </c>
      <c r="R1" s="288" t="s">
        <v>13</v>
      </c>
      <c r="S1" s="288" t="s">
        <v>1</v>
      </c>
      <c r="T1" s="288" t="s">
        <v>14</v>
      </c>
      <c r="U1" s="288" t="s">
        <v>10</v>
      </c>
      <c r="V1" s="288" t="s">
        <v>181</v>
      </c>
      <c r="W1" s="288" t="s">
        <v>182</v>
      </c>
      <c r="X1" s="288" t="s">
        <v>183</v>
      </c>
    </row>
    <row r="2" spans="1:24" x14ac:dyDescent="0.2">
      <c r="A2" s="289" t="s">
        <v>36</v>
      </c>
      <c r="B2" s="289" t="s">
        <v>184</v>
      </c>
      <c r="C2" s="289" t="s">
        <v>12</v>
      </c>
      <c r="D2" s="289" t="s">
        <v>185</v>
      </c>
      <c r="E2" s="289" t="s">
        <v>186</v>
      </c>
      <c r="F2" s="289" t="s">
        <v>187</v>
      </c>
      <c r="G2" s="289" t="s">
        <v>188</v>
      </c>
      <c r="H2" s="289" t="s">
        <v>189</v>
      </c>
      <c r="I2" s="287"/>
      <c r="J2" s="287"/>
      <c r="K2" s="290">
        <f>(((($U2*100+$V2)*100+$W2)*100+$X2)*100+$S2)*100+ROW($K$1)-ROW()</f>
        <v>-1</v>
      </c>
      <c r="L2" s="402">
        <f>RANK(K2,$K$2:$K$5)</f>
        <v>1</v>
      </c>
      <c r="M2" s="402"/>
      <c r="N2" s="136" t="s">
        <v>190</v>
      </c>
      <c r="O2" s="290">
        <f>SUMIF(GRUPD!$A$6:$A$30,$N2,$A$3:$A$374)+SUMIF(GRUPD!$E$6:$E$30,$N2,$A$3:$A$374)</f>
        <v>0</v>
      </c>
      <c r="P2" s="290">
        <f>SUMIF(GRUPD!$A$6:$A$30,$N2,$B$3:$B$374)+SUMIF(GRUPD!$E$6:$E$30,$N2,$D$3:$D$374)</f>
        <v>0</v>
      </c>
      <c r="Q2" s="290">
        <f>SUMIF(GRUPD!$A$6:$A$30,$N2,$C$3:$C$374)+SUMIF(GRUPD!$E$6:$E$30,$N2,$C$3:$C$374)</f>
        <v>0</v>
      </c>
      <c r="R2" s="290">
        <f>O2-P2-Q2</f>
        <v>0</v>
      </c>
      <c r="S2" s="290">
        <f>SUMIF(GRUPD!$A$6:$A$30,$N2,GRUPD!$B$6:$B$30)+SUMIF(GRUPD!$E$6:$E$30,$N2,GRUPD!$D$6:$D$30)</f>
        <v>0</v>
      </c>
      <c r="T2" s="290">
        <f>SUMIF(GRUPD!$A$6:$A$30,$N2,GRUPD!$D$6:$D$30)+SUMIF(GRUPD!$E$6:$E$30,$N2,GRUPD!$B$6:$B$30)</f>
        <v>0</v>
      </c>
      <c r="U2" s="292">
        <f>P2*3+Q2</f>
        <v>0</v>
      </c>
      <c r="V2" s="290">
        <f>SUMIF(GRUPD!$A$6:$A$30,$N2,$F$3:$F$374)-SUMIF(GRUPD!$E$6:$E$30,$N2,$F$3:$F$374)</f>
        <v>0</v>
      </c>
      <c r="W2" s="290">
        <f>SUMIF(GRUPD!$A$6:$A$30,$N2,$G$3:$G$374)-SUMIF(GRUPD!$E$6:$E$30,$N2,$G$3:$G$374)</f>
        <v>0</v>
      </c>
      <c r="X2" s="290">
        <f>S2-T2</f>
        <v>0</v>
      </c>
    </row>
    <row r="3" spans="1:24" x14ac:dyDescent="0.2">
      <c r="A3" s="293">
        <f>IF(OR(ISBLANK(GRUPD!$B6),ISBLANK(GRUPD!$D6)),0,1)</f>
        <v>1</v>
      </c>
      <c r="B3" s="293">
        <f>IF(AND($A3=1,GRUPD!$B6&gt;GRUPD!$D6),1,0)</f>
        <v>1</v>
      </c>
      <c r="C3" s="293">
        <f>IF(AND($A3=1,GRUPD!$B6=GRUPD!$D6),1,0)</f>
        <v>0</v>
      </c>
      <c r="D3" s="293">
        <f>IF(AND($A3=1,GRUPD!$B6&lt;GRUPD!$D6),1,0)</f>
        <v>0</v>
      </c>
      <c r="E3" s="293" t="e">
        <f>IF(VLOOKUP(GRUPD!$A6,$N$2:$U$19,8,FALSE)=VLOOKUP(GRUPD!$E6,$N$2:$U$19,8,FALSE),1,0)</f>
        <v>#REF!</v>
      </c>
      <c r="F3" s="294" t="e">
        <f t="shared" ref="F3:F11" si="0">IF($E3=1,2*$B3-2*$D3,0)</f>
        <v>#REF!</v>
      </c>
      <c r="G3" s="294" t="e">
        <f>IF($E3=1,GRUPD!$B6-GRUPD!$D6,0)</f>
        <v>#REF!</v>
      </c>
      <c r="H3" s="294" t="e">
        <f>IF($E3=1,GRUPD!$D6,0)</f>
        <v>#REF!</v>
      </c>
      <c r="I3" s="287"/>
      <c r="J3" s="287"/>
      <c r="K3" s="290">
        <f>(((($U3*100+$V3)*100+$W3)*100+$X3)*100+$S3)*100+ROW($K$1)-ROW()</f>
        <v>-2</v>
      </c>
      <c r="L3" s="402">
        <f>RANK(K3,$K$2:$K$5)</f>
        <v>2</v>
      </c>
      <c r="M3" s="402"/>
      <c r="N3" t="s">
        <v>191</v>
      </c>
      <c r="O3" s="290">
        <f>SUMIF(GRUPD!$A$6:$A$30,$N3,$A$3:$A$374)+SUMIF(GRUPD!$E$6:$E$30,$N3,$A$3:$A$374)</f>
        <v>0</v>
      </c>
      <c r="P3" s="290">
        <f>SUMIF(GRUPD!$A$6:$A$30,$N3,$B$3:$B$374)+SUMIF(GRUPD!$E$6:$E$30,$N3,$D$3:$D$374)</f>
        <v>0</v>
      </c>
      <c r="Q3" s="290">
        <f>SUMIF(GRUPD!$A$6:$A$30,$N3,$C$3:$C$374)+SUMIF(GRUPD!$E$6:$E$30,$N3,$C$3:$C$374)</f>
        <v>0</v>
      </c>
      <c r="R3" s="290">
        <f>O3-P3-Q3</f>
        <v>0</v>
      </c>
      <c r="S3" s="290">
        <f>SUMIF(GRUPD!$A$6:$A$30,$N3,GRUPD!$B$6:$B$30)+SUMIF(GRUPD!$E$6:$E$30,$N3,GRUPD!$D$6:$D$30)</f>
        <v>0</v>
      </c>
      <c r="T3" s="290">
        <f>SUMIF(GRUPD!$A$6:$A$30,$N3,GRUPD!$D$6:$D$30)+SUMIF(GRUPD!$E$6:$E$30,$N3,GRUPD!$B$6:$B$30)</f>
        <v>0</v>
      </c>
      <c r="U3" s="292">
        <f>P3*3+Q3</f>
        <v>0</v>
      </c>
      <c r="V3" s="290">
        <f>SUMIF(GRUPD!$A$6:$A$30,$N3,$F$3:$F$374)-SUMIF(GRUPD!$E$6:$E$30,$N3,$F$3:$F$374)</f>
        <v>0</v>
      </c>
      <c r="W3" s="290">
        <f>SUMIF(GRUPD!$A$6:$A$30,$N3,$G$3:$G$374)-SUMIF(GRUPD!$E$6:$E$30,$N3,$G$3:$G$374)</f>
        <v>0</v>
      </c>
      <c r="X3" s="290">
        <f>S3-T3</f>
        <v>0</v>
      </c>
    </row>
    <row r="4" spans="1:24" x14ac:dyDescent="0.2">
      <c r="A4" s="293">
        <f>IF(OR(ISBLANK(GRUPD!$B7),ISBLANK(GRUPD!$D7)),0,1)</f>
        <v>1</v>
      </c>
      <c r="B4" s="293">
        <f>IF(AND($A4=1,GRUPD!$B7&gt;GRUPD!$D7),1,0)</f>
        <v>1</v>
      </c>
      <c r="C4" s="293">
        <f>IF(AND($A4=1,GRUPD!$B7=GRUPD!$D7),1,0)</f>
        <v>0</v>
      </c>
      <c r="D4" s="293">
        <f>IF(AND($A4=1,GRUPD!$B7&lt;GRUPD!$D7),1,0)</f>
        <v>0</v>
      </c>
      <c r="E4" s="293" t="e">
        <f>IF(VLOOKUP(GRUPD!$A7,$N$2:$U$19,8,FALSE)=VLOOKUP(GRUPD!$E7,$N$2:$U$19,8,FALSE),1,0)</f>
        <v>#REF!</v>
      </c>
      <c r="F4" s="294" t="e">
        <f t="shared" si="0"/>
        <v>#REF!</v>
      </c>
      <c r="G4" s="294" t="e">
        <f>IF($E4=1,GRUPD!$B7-GRUPD!$D7,0)</f>
        <v>#REF!</v>
      </c>
      <c r="H4" s="294" t="e">
        <f>IF($E4=1,GRUPD!$D7,0)</f>
        <v>#REF!</v>
      </c>
      <c r="I4" s="287"/>
      <c r="J4" s="287"/>
      <c r="K4" s="290">
        <f>(((($U4*100+$V4)*100+$W4)*100+$X4)*100+$S4)*100+ROW($K$1)-ROW()</f>
        <v>-3</v>
      </c>
      <c r="L4" s="402">
        <f>RANK(K4,$K$2:$K$5)</f>
        <v>3</v>
      </c>
      <c r="M4" s="402"/>
      <c r="N4" t="s">
        <v>192</v>
      </c>
      <c r="O4" s="290">
        <f>SUMIF(GRUPD!$A$6:$A$30,$N4,$A$3:$A$374)+SUMIF(GRUPD!$E$6:$E$30,$N4,$A$3:$A$374)</f>
        <v>0</v>
      </c>
      <c r="P4" s="290">
        <f>SUMIF(GRUPD!$A$6:$A$30,$N4,$B$3:$B$374)+SUMIF(GRUPD!$E$6:$E$30,$N4,$D$3:$D$374)</f>
        <v>0</v>
      </c>
      <c r="Q4" s="290">
        <f>SUMIF(GRUPD!$A$6:$A$30,$N4,$C$3:$C$374)+SUMIF(GRUPD!$E$6:$E$30,$N4,$C$3:$C$374)</f>
        <v>0</v>
      </c>
      <c r="R4" s="290">
        <f>O4-P4-Q4</f>
        <v>0</v>
      </c>
      <c r="S4" s="290">
        <f>SUMIF(GRUPD!$A$6:$A$30,$N4,GRUPD!$B$6:$B$30)+SUMIF(GRUPD!$E$6:$E$30,$N4,GRUPD!$D$6:$D$30)</f>
        <v>0</v>
      </c>
      <c r="T4" s="290">
        <f>SUMIF(GRUPD!$A$6:$A$30,$N4,GRUPD!$D$6:$D$30)+SUMIF(GRUPD!$E$6:$E$30,$N4,GRUPD!$B$6:$B$30)</f>
        <v>0</v>
      </c>
      <c r="U4" s="292">
        <f>P4*3+Q4</f>
        <v>0</v>
      </c>
      <c r="V4" s="290">
        <f>SUMIF(GRUPD!$A$6:$A$30,$N4,$F$3:$F$374)-SUMIF(GRUPD!$E$6:$E$30,$N4,$F$3:$F$374)</f>
        <v>0</v>
      </c>
      <c r="W4" s="290">
        <f>SUMIF(GRUPD!$A$6:$A$30,$N4,$G$3:$G$374)-SUMIF(GRUPD!$E$6:$E$30,$N4,$G$3:$G$374)</f>
        <v>0</v>
      </c>
      <c r="X4" s="290">
        <f>S4-T4</f>
        <v>0</v>
      </c>
    </row>
    <row r="5" spans="1:24" ht="15.75" customHeight="1" x14ac:dyDescent="0.2">
      <c r="A5" s="293">
        <f>IF(OR(ISBLANK(GRUPD!$B8),ISBLANK(GRUPD!$D8)),0,1)</f>
        <v>0</v>
      </c>
      <c r="B5" s="293">
        <f>IF(AND($A5=1,GRUPD!$B8&gt;GRUPD!$D8),1,0)</f>
        <v>0</v>
      </c>
      <c r="C5" s="293">
        <f>IF(AND($A5=1,GRUPD!$B8=GRUPD!$D8),1,0)</f>
        <v>0</v>
      </c>
      <c r="D5" s="293">
        <f>IF(AND($A5=1,GRUPD!$B8&lt;GRUPD!$D8),1,0)</f>
        <v>0</v>
      </c>
      <c r="E5" s="293" t="e">
        <f>IF(VLOOKUP(GRUPD!$A8,$N$2:$U$19,8,FALSE)=VLOOKUP(GRUPD!$E8,$N$2:$U$19,8,FALSE),1,0)</f>
        <v>#N/A</v>
      </c>
      <c r="F5" s="294" t="e">
        <f t="shared" si="0"/>
        <v>#N/A</v>
      </c>
      <c r="G5" s="294" t="e">
        <f>IF($E5=1,GRUPD!$B8-GRUPD!$D8,0)</f>
        <v>#N/A</v>
      </c>
      <c r="H5" s="294" t="e">
        <f>IF($E5=1,GRUPD!$D8,0)</f>
        <v>#N/A</v>
      </c>
      <c r="I5" s="287"/>
      <c r="J5" s="287"/>
      <c r="K5" s="290">
        <f>(((($U5*100+$V5)*100+$W5)*100+$X5)*100+$S5)*100+ROW($K$1)-ROW()</f>
        <v>-4</v>
      </c>
      <c r="L5" s="402">
        <f>RANK(K5,$K$2:$K$5)</f>
        <v>4</v>
      </c>
      <c r="M5" s="402"/>
      <c r="N5" t="s">
        <v>193</v>
      </c>
      <c r="O5" s="290">
        <f>SUMIF(GRUPD!$A$6:$A$30,$N5,$A$3:$A$374)+SUMIF(GRUPD!$E$6:$E$30,$N5,$A$3:$A$374)</f>
        <v>0</v>
      </c>
      <c r="P5" s="290">
        <f>SUMIF(GRUPD!$A$6:$A$30,$N5,$B$3:$B$374)+SUMIF(GRUPD!$E$6:$E$30,$N5,$D$3:$D$374)</f>
        <v>0</v>
      </c>
      <c r="Q5" s="290">
        <f>SUMIF(GRUPD!$A$6:$A$30,$N5,$C$3:$C$374)+SUMIF(GRUPD!$E$6:$E$30,$N5,$C$3:$C$374)</f>
        <v>0</v>
      </c>
      <c r="R5" s="290">
        <f>O5-P5-Q5</f>
        <v>0</v>
      </c>
      <c r="S5" s="290">
        <f>SUMIF(GRUPD!$A$6:$A$30,$N5,GRUPD!$B$6:$B$30)+SUMIF(GRUPD!$E$6:$E$30,$N5,GRUPD!$D$6:$D$30)</f>
        <v>0</v>
      </c>
      <c r="T5" s="290">
        <f>SUMIF(GRUPD!$A$6:$A$30,$N5,GRUPD!$D$6:$D$30)+SUMIF(GRUPD!$E$6:$E$30,$N5,GRUPD!$B$6:$B$30)</f>
        <v>0</v>
      </c>
      <c r="U5" s="292">
        <f>P5*3+Q5</f>
        <v>0</v>
      </c>
      <c r="V5" s="290">
        <f>SUMIF(GRUPD!$A$6:$A$30,$N5,$F$3:$F$374)-SUMIF(GRUPD!$E$6:$E$30,$N5,$F$3:$F$374)</f>
        <v>0</v>
      </c>
      <c r="W5" s="290">
        <f>SUMIF(GRUPD!$A$6:$A$30,$N5,$G$3:$G$374)-SUMIF(GRUPD!$E$6:$E$30,$N5,$G$3:$G$374)</f>
        <v>0</v>
      </c>
      <c r="X5" s="290">
        <f>S5-T5</f>
        <v>0</v>
      </c>
    </row>
    <row r="6" spans="1:24" x14ac:dyDescent="0.2">
      <c r="A6" s="293">
        <f>IF(OR(ISBLANK(GRUPD!$B9),ISBLANK(GRUPD!$D9)),0,1)</f>
        <v>0</v>
      </c>
      <c r="B6" s="293">
        <f>IF(AND($A6=1,GRUPD!$B9&gt;GRUPD!$D9),1,0)</f>
        <v>0</v>
      </c>
      <c r="C6" s="293">
        <f>IF(AND($A6=1,GRUPD!$B9=GRUPD!$D9),1,0)</f>
        <v>0</v>
      </c>
      <c r="D6" s="293">
        <f>IF(AND($A6=1,GRUPD!$B9&lt;GRUPD!$D9),1,0)</f>
        <v>0</v>
      </c>
      <c r="E6" s="293" t="e">
        <f>IF(VLOOKUP(GRUPD!$A9,$N$2:$U$19,8,FALSE)=VLOOKUP(GRUPD!$E9,$N$2:$U$19,8,FALSE),1,0)</f>
        <v>#N/A</v>
      </c>
      <c r="F6" s="294" t="e">
        <f t="shared" si="0"/>
        <v>#N/A</v>
      </c>
      <c r="G6" s="294" t="e">
        <f>IF($E6=1,GRUPD!$B9-GRUPD!$D9,0)</f>
        <v>#N/A</v>
      </c>
      <c r="H6" s="294" t="e">
        <f>IF($E6=1,GRUPD!$D9,0)</f>
        <v>#N/A</v>
      </c>
      <c r="I6" s="287"/>
      <c r="J6" s="287"/>
      <c r="K6" s="290"/>
      <c r="L6" s="402"/>
      <c r="M6" s="402"/>
      <c r="N6" s="291"/>
      <c r="O6" s="290"/>
      <c r="P6" s="290"/>
      <c r="Q6" s="290"/>
      <c r="R6" s="290"/>
      <c r="S6" s="290"/>
      <c r="T6" s="290"/>
      <c r="U6" s="292"/>
      <c r="V6" s="290"/>
      <c r="W6" s="290"/>
      <c r="X6" s="290"/>
    </row>
    <row r="7" spans="1:24" x14ac:dyDescent="0.2">
      <c r="A7" s="293">
        <f>IF(OR(ISBLANK(GRUPD!$B10),ISBLANK(GRUPD!$D10)),0,1)</f>
        <v>0</v>
      </c>
      <c r="B7" s="293">
        <f>IF(AND($A7=1,GRUPD!$B10&gt;GRUPD!$D10),1,0)</f>
        <v>0</v>
      </c>
      <c r="C7" s="293">
        <f>IF(AND($A7=1,GRUPD!$B10=GRUPD!$D10),1,0)</f>
        <v>0</v>
      </c>
      <c r="D7" s="293">
        <f>IF(AND($A7=1,GRUPD!$B10&lt;GRUPD!$D10),1,0)</f>
        <v>0</v>
      </c>
      <c r="E7" s="293" t="e">
        <f>IF(VLOOKUP(GRUPD!$A10,$N$2:$U$19,8,FALSE)=VLOOKUP(GRUPD!$E10,$N$2:$U$19,8,FALSE),1,0)</f>
        <v>#N/A</v>
      </c>
      <c r="F7" s="294" t="e">
        <f t="shared" si="0"/>
        <v>#N/A</v>
      </c>
      <c r="G7" s="294" t="e">
        <f>IF($E7=1,GRUPD!$B10-GRUPD!$D10,0)</f>
        <v>#N/A</v>
      </c>
      <c r="H7" s="294" t="e">
        <f>IF($E7=1,GRUPD!$D10,0)</f>
        <v>#N/A</v>
      </c>
      <c r="I7" s="287"/>
      <c r="J7" s="287"/>
      <c r="K7" s="290"/>
      <c r="L7" s="402"/>
      <c r="M7" s="402"/>
      <c r="N7" s="291"/>
      <c r="O7" s="290"/>
      <c r="P7" s="290"/>
      <c r="Q7" s="290"/>
      <c r="R7" s="290"/>
      <c r="S7" s="290"/>
      <c r="T7" s="290"/>
      <c r="U7" s="292"/>
      <c r="V7" s="290"/>
      <c r="W7" s="290"/>
      <c r="X7" s="290"/>
    </row>
    <row r="8" spans="1:24" x14ac:dyDescent="0.2">
      <c r="A8" s="293">
        <f>IF(OR(ISBLANK(GRUPD!$B11),ISBLANK(GRUPD!$D11)),0,1)</f>
        <v>0</v>
      </c>
      <c r="B8" s="293">
        <f>IF(AND($A8=1,GRUPD!$B11&gt;GRUPD!$D11),1,0)</f>
        <v>0</v>
      </c>
      <c r="C8" s="293">
        <f>IF(AND($A8=1,GRUPD!$B11=GRUPD!$D11),1,0)</f>
        <v>0</v>
      </c>
      <c r="D8" s="293">
        <f>IF(AND($A8=1,GRUPD!$B11&lt;GRUPD!$D11),1,0)</f>
        <v>0</v>
      </c>
      <c r="E8" s="293" t="e">
        <f>IF(VLOOKUP(GRUPD!$A11,$N$2:$U$19,8,FALSE)=VLOOKUP(GRUPD!$E11,$N$2:$U$19,8,FALSE),1,0)</f>
        <v>#N/A</v>
      </c>
      <c r="F8" s="294" t="e">
        <f t="shared" si="0"/>
        <v>#N/A</v>
      </c>
      <c r="G8" s="294" t="e">
        <f>IF($E8=1,GRUPD!$B11-GRUPD!$D11,0)</f>
        <v>#N/A</v>
      </c>
      <c r="H8" s="294" t="e">
        <f>IF($E8=1,GRUPD!$D11,0)</f>
        <v>#N/A</v>
      </c>
      <c r="I8" s="287"/>
      <c r="J8" s="287"/>
      <c r="K8" s="290"/>
      <c r="L8" s="402"/>
      <c r="M8" s="402"/>
      <c r="N8" s="291"/>
      <c r="O8" s="290"/>
      <c r="P8" s="290"/>
      <c r="Q8" s="290"/>
      <c r="R8" s="290"/>
      <c r="S8" s="290"/>
      <c r="T8" s="290"/>
      <c r="U8" s="292"/>
      <c r="V8" s="290"/>
      <c r="W8" s="290"/>
      <c r="X8" s="290"/>
    </row>
    <row r="9" spans="1:24" x14ac:dyDescent="0.2">
      <c r="A9" s="293">
        <f>IF(OR(ISBLANK(GRUPD!$B12),ISBLANK(GRUPD!$D12)),0,1)</f>
        <v>0</v>
      </c>
      <c r="B9" s="293">
        <f>IF(AND($A9=1,GRUPD!$B12&gt;GRUPD!$D12),1,0)</f>
        <v>0</v>
      </c>
      <c r="C9" s="293">
        <f>IF(AND($A9=1,GRUPD!$B12=GRUPD!$D12),1,0)</f>
        <v>0</v>
      </c>
      <c r="D9" s="293">
        <f>IF(AND($A9=1,GRUPD!$B12&lt;GRUPD!$D12),1,0)</f>
        <v>0</v>
      </c>
      <c r="E9" s="293" t="e">
        <f>IF(VLOOKUP(GRUPD!$A12,$N$2:$U$19,8,FALSE)=VLOOKUP(GRUPD!$E12,$N$2:$U$19,8,FALSE),1,0)</f>
        <v>#N/A</v>
      </c>
      <c r="F9" s="294" t="e">
        <f t="shared" si="0"/>
        <v>#N/A</v>
      </c>
      <c r="G9" s="294" t="e">
        <f>IF($E9=1,GRUPD!$B12-GRUPD!$D12,0)</f>
        <v>#N/A</v>
      </c>
      <c r="H9" s="294" t="e">
        <f>IF($E9=1,GRUPD!$D12,0)</f>
        <v>#N/A</v>
      </c>
      <c r="I9" s="287"/>
      <c r="J9" s="287"/>
      <c r="K9" s="290"/>
      <c r="L9" s="402"/>
      <c r="M9" s="402"/>
      <c r="N9" s="291"/>
      <c r="O9" s="290"/>
      <c r="P9" s="290"/>
      <c r="Q9" s="290"/>
      <c r="R9" s="290"/>
      <c r="S9" s="290"/>
      <c r="T9" s="290"/>
      <c r="U9" s="292"/>
      <c r="V9" s="290"/>
      <c r="W9" s="290"/>
      <c r="X9" s="290"/>
    </row>
    <row r="10" spans="1:24" x14ac:dyDescent="0.2">
      <c r="A10" s="293">
        <f>IF(OR(ISBLANK(GRUPD!$B13),ISBLANK(GRUPD!$D13)),0,1)</f>
        <v>0</v>
      </c>
      <c r="B10" s="293">
        <f>IF(AND($A10=1,GRUPD!$B13&gt;GRUPD!$D13),1,0)</f>
        <v>0</v>
      </c>
      <c r="C10" s="293">
        <f>IF(AND($A10=1,GRUPD!$B13=GRUPD!$D13),1,0)</f>
        <v>0</v>
      </c>
      <c r="D10" s="293">
        <f>IF(AND($A10=1,GRUPD!$B13&lt;GRUPD!$D13),1,0)</f>
        <v>0</v>
      </c>
      <c r="E10" s="293" t="e">
        <f>IF(VLOOKUP(GRUPD!$A13,$N$2:$U$19,8,FALSE)=VLOOKUP(GRUPD!$E13,$N$2:$U$19,8,FALSE),1,0)</f>
        <v>#N/A</v>
      </c>
      <c r="F10" s="294" t="e">
        <f t="shared" si="0"/>
        <v>#N/A</v>
      </c>
      <c r="G10" s="294" t="e">
        <f>IF($E10=1,GRUPD!$B13-GRUPD!$D13,0)</f>
        <v>#N/A</v>
      </c>
      <c r="H10" s="294" t="e">
        <f>IF($E10=1,GRUPD!$D13,0)</f>
        <v>#N/A</v>
      </c>
      <c r="I10" s="287"/>
      <c r="J10" s="287"/>
      <c r="K10" s="290"/>
      <c r="L10" s="402"/>
      <c r="M10" s="402"/>
      <c r="N10" s="291"/>
      <c r="O10" s="290"/>
      <c r="P10" s="290"/>
      <c r="Q10" s="290"/>
      <c r="R10" s="290"/>
      <c r="S10" s="290"/>
      <c r="T10" s="290"/>
      <c r="U10" s="292"/>
      <c r="V10" s="290"/>
      <c r="W10" s="290"/>
      <c r="X10" s="290"/>
    </row>
    <row r="11" spans="1:24" x14ac:dyDescent="0.2">
      <c r="A11" s="293">
        <f>IF(OR(ISBLANK(GRUPD!$B14),ISBLANK(GRUPD!$D14)),0,1)</f>
        <v>0</v>
      </c>
      <c r="B11" s="293">
        <f>IF(AND($A11=1,GRUPD!$B14&gt;GRUPD!$D14),1,0)</f>
        <v>0</v>
      </c>
      <c r="C11" s="293">
        <f>IF(AND($A11=1,GRUPD!$B14=GRUPD!$D14),1,0)</f>
        <v>0</v>
      </c>
      <c r="D11" s="293">
        <f>IF(AND($A11=1,GRUPD!$B14&lt;GRUPD!$D14),1,0)</f>
        <v>0</v>
      </c>
      <c r="E11" s="293" t="e">
        <f>IF(VLOOKUP(GRUPD!$A14,$N$2:$U$19,8,FALSE)=VLOOKUP(GRUPD!$E14,$N$2:$U$19,8,FALSE),1,0)</f>
        <v>#N/A</v>
      </c>
      <c r="F11" s="294" t="e">
        <f t="shared" si="0"/>
        <v>#N/A</v>
      </c>
      <c r="G11" s="294" t="e">
        <f>IF($E11=1,GRUPD!$B14-GRUPD!$D14,0)</f>
        <v>#N/A</v>
      </c>
      <c r="H11" s="294" t="e">
        <f>IF($E11=1,GRUPD!$D14,0)</f>
        <v>#N/A</v>
      </c>
      <c r="I11" s="287"/>
      <c r="J11" s="287"/>
      <c r="K11" s="290"/>
      <c r="L11" s="402"/>
      <c r="M11" s="402"/>
      <c r="N11" s="291"/>
      <c r="O11" s="290"/>
      <c r="P11" s="290"/>
      <c r="Q11" s="290"/>
      <c r="R11" s="290"/>
      <c r="S11" s="290"/>
      <c r="T11" s="290"/>
      <c r="U11" s="292"/>
      <c r="V11" s="290"/>
      <c r="W11" s="290"/>
      <c r="X11" s="290"/>
    </row>
    <row r="12" spans="1:24" x14ac:dyDescent="0.2">
      <c r="A12" s="293"/>
      <c r="B12" s="293"/>
      <c r="C12" s="293"/>
      <c r="D12" s="293"/>
      <c r="E12" s="293"/>
      <c r="F12" s="294"/>
      <c r="G12" s="294"/>
      <c r="H12" s="294"/>
      <c r="I12" s="287"/>
      <c r="J12" s="287"/>
      <c r="K12" s="290"/>
      <c r="L12" s="402"/>
      <c r="M12" s="402"/>
      <c r="N12" s="291"/>
      <c r="O12" s="290"/>
      <c r="P12" s="290"/>
      <c r="Q12" s="290"/>
      <c r="R12" s="290"/>
      <c r="S12" s="290"/>
      <c r="T12" s="290"/>
      <c r="U12" s="292"/>
      <c r="V12" s="290"/>
      <c r="W12" s="290"/>
      <c r="X12" s="290"/>
    </row>
    <row r="13" spans="1:24" x14ac:dyDescent="0.2">
      <c r="A13" s="293"/>
      <c r="B13" s="293"/>
      <c r="C13" s="293"/>
      <c r="D13" s="293"/>
      <c r="E13" s="293"/>
      <c r="F13" s="294"/>
      <c r="G13" s="294"/>
      <c r="H13" s="294"/>
      <c r="I13" s="287"/>
      <c r="J13" s="287"/>
      <c r="K13" s="290"/>
      <c r="L13" s="402"/>
      <c r="M13" s="402"/>
      <c r="N13" s="291"/>
      <c r="O13" s="290"/>
      <c r="P13" s="290"/>
      <c r="Q13" s="290"/>
      <c r="R13" s="290"/>
      <c r="S13" s="290"/>
      <c r="T13" s="290"/>
      <c r="U13" s="292"/>
      <c r="V13" s="290"/>
      <c r="W13" s="290"/>
      <c r="X13" s="290"/>
    </row>
    <row r="14" spans="1:24" x14ac:dyDescent="0.2">
      <c r="A14" s="293">
        <f>IF(OR(ISBLANK(GRUPD!$B17),ISBLANK(GRUPD!$D17)),0,1)</f>
        <v>1</v>
      </c>
      <c r="B14" s="293">
        <f>IF(AND($A14=1,GRUPD!$B17&gt;GRUPD!$D17),1,0)</f>
        <v>1</v>
      </c>
      <c r="C14" s="293">
        <f>IF(AND($A14=1,GRUPD!$B17=GRUPD!$D17),1,0)</f>
        <v>0</v>
      </c>
      <c r="D14" s="293">
        <f>IF(AND($A14=1,GRUPD!$B17&lt;GRUPD!$D17),1,0)</f>
        <v>0</v>
      </c>
      <c r="E14" s="293" t="e">
        <f>IF(VLOOKUP(GRUPD!$A17,$N$2:$U$19,8,FALSE)=VLOOKUP(GRUPD!$E17,$N$2:$U$19,8,FALSE),1,0)</f>
        <v>#REF!</v>
      </c>
      <c r="F14" s="294" t="e">
        <f t="shared" ref="F14:F22" si="1">IF($E14=1,2*$B14-2*$D14,0)</f>
        <v>#REF!</v>
      </c>
      <c r="G14" s="294" t="e">
        <f>IF($E14=1,GRUPD!$B17-GRUPD!$D17,0)</f>
        <v>#REF!</v>
      </c>
      <c r="H14" s="294" t="e">
        <f>IF($E14=1,GRUPD!$D17,0)</f>
        <v>#REF!</v>
      </c>
      <c r="I14" s="287"/>
      <c r="J14" s="287"/>
      <c r="K14" s="290"/>
      <c r="L14" s="402"/>
      <c r="M14" s="402"/>
      <c r="N14" s="291"/>
      <c r="O14" s="290"/>
      <c r="P14" s="290"/>
      <c r="Q14" s="290"/>
      <c r="R14" s="290"/>
      <c r="S14" s="290"/>
      <c r="T14" s="290"/>
      <c r="U14" s="292"/>
      <c r="V14" s="290"/>
      <c r="W14" s="290"/>
      <c r="X14" s="290"/>
    </row>
    <row r="15" spans="1:24" x14ac:dyDescent="0.2">
      <c r="A15" s="293">
        <f>IF(OR(ISBLANK(GRUPD!$B18),ISBLANK(GRUPD!$D18)),0,1)</f>
        <v>1</v>
      </c>
      <c r="B15" s="293">
        <f>IF(AND($A15=1,GRUPD!$B18&gt;GRUPD!$D18),1,0)</f>
        <v>0</v>
      </c>
      <c r="C15" s="293">
        <f>IF(AND($A15=1,GRUPD!$B18=GRUPD!$D18),1,0)</f>
        <v>0</v>
      </c>
      <c r="D15" s="293">
        <f>IF(AND($A15=1,GRUPD!$B18&lt;GRUPD!$D18),1,0)</f>
        <v>1</v>
      </c>
      <c r="E15" s="293" t="e">
        <f>IF(VLOOKUP(GRUPD!$A18,$N$2:$U$19,8,FALSE)=VLOOKUP(GRUPD!$E18,$N$2:$U$19,8,FALSE),1,0)</f>
        <v>#REF!</v>
      </c>
      <c r="F15" s="294" t="e">
        <f t="shared" si="1"/>
        <v>#REF!</v>
      </c>
      <c r="G15" s="294" t="e">
        <f>IF($E15=1,GRUPD!$B18-GRUPD!$D18,0)</f>
        <v>#REF!</v>
      </c>
      <c r="H15" s="294" t="e">
        <f>IF($E15=1,GRUPD!$D18,0)</f>
        <v>#REF!</v>
      </c>
      <c r="I15" s="287"/>
      <c r="J15" s="287"/>
      <c r="K15" s="290"/>
      <c r="L15" s="402"/>
      <c r="M15" s="402"/>
      <c r="N15" s="291"/>
      <c r="O15" s="290"/>
      <c r="P15" s="290"/>
      <c r="Q15" s="290"/>
      <c r="R15" s="290"/>
      <c r="S15" s="290"/>
      <c r="T15" s="290"/>
      <c r="U15" s="292"/>
      <c r="V15" s="290"/>
      <c r="W15" s="290"/>
      <c r="X15" s="290"/>
    </row>
    <row r="16" spans="1:24" x14ac:dyDescent="0.2">
      <c r="A16" s="293">
        <f>IF(OR(ISBLANK(GRUPD!$B19),ISBLANK(GRUPD!$D19)),0,1)</f>
        <v>0</v>
      </c>
      <c r="B16" s="293">
        <f>IF(AND($A16=1,GRUPD!$B19&gt;GRUPD!$D19),1,0)</f>
        <v>0</v>
      </c>
      <c r="C16" s="293">
        <f>IF(AND($A16=1,GRUPD!$B19=GRUPD!$D19),1,0)</f>
        <v>0</v>
      </c>
      <c r="D16" s="293">
        <f>IF(AND($A16=1,GRUPD!$B19&lt;GRUPD!$D19),1,0)</f>
        <v>0</v>
      </c>
      <c r="E16" s="293" t="e">
        <f>IF(VLOOKUP(GRUPD!$A19,$N$2:$U$19,8,FALSE)=VLOOKUP(GRUPD!$E19,$N$2:$U$19,8,FALSE),1,0)</f>
        <v>#N/A</v>
      </c>
      <c r="F16" s="294" t="e">
        <f t="shared" si="1"/>
        <v>#N/A</v>
      </c>
      <c r="G16" s="294" t="e">
        <f>IF($E16=1,GRUPD!$B19-GRUPD!$D19,0)</f>
        <v>#N/A</v>
      </c>
      <c r="H16" s="294" t="e">
        <f>IF($E16=1,GRUPD!$D19,0)</f>
        <v>#N/A</v>
      </c>
      <c r="I16" s="287"/>
      <c r="J16" s="287"/>
      <c r="K16" s="290"/>
      <c r="L16" s="402"/>
      <c r="M16" s="402"/>
      <c r="N16" s="291"/>
      <c r="O16" s="290"/>
      <c r="P16" s="290"/>
      <c r="Q16" s="290"/>
      <c r="R16" s="290"/>
      <c r="S16" s="290"/>
      <c r="T16" s="290"/>
      <c r="U16" s="292"/>
      <c r="V16" s="290"/>
      <c r="W16" s="290"/>
      <c r="X16" s="290"/>
    </row>
    <row r="17" spans="1:24" x14ac:dyDescent="0.2">
      <c r="A17" s="293">
        <f>IF(OR(ISBLANK(GRUPD!$B20),ISBLANK(GRUPD!$D20)),0,1)</f>
        <v>0</v>
      </c>
      <c r="B17" s="293">
        <f>IF(AND($A17=1,GRUPD!$B20&gt;GRUPD!$D20),1,0)</f>
        <v>0</v>
      </c>
      <c r="C17" s="293">
        <f>IF(AND($A17=1,GRUPD!$B20=GRUPD!$D20),1,0)</f>
        <v>0</v>
      </c>
      <c r="D17" s="293">
        <f>IF(AND($A17=1,GRUPD!$B20&lt;GRUPD!$D20),1,0)</f>
        <v>0</v>
      </c>
      <c r="E17" s="293" t="e">
        <f>IF(VLOOKUP(GRUPD!$A20,$N$2:$U$19,8,FALSE)=VLOOKUP(GRUPD!$E20,$N$2:$U$19,8,FALSE),1,0)</f>
        <v>#N/A</v>
      </c>
      <c r="F17" s="294" t="e">
        <f t="shared" si="1"/>
        <v>#N/A</v>
      </c>
      <c r="G17" s="294" t="e">
        <f>IF($E17=1,GRUPD!$B20-GRUPD!$D20,0)</f>
        <v>#N/A</v>
      </c>
      <c r="H17" s="294" t="e">
        <f>IF($E17=1,GRUPD!$D20,0)</f>
        <v>#N/A</v>
      </c>
      <c r="I17" s="287"/>
      <c r="J17" s="287"/>
      <c r="K17" s="290"/>
      <c r="L17" s="402"/>
      <c r="M17" s="402"/>
      <c r="N17" s="291"/>
      <c r="O17" s="290"/>
      <c r="P17" s="290"/>
      <c r="Q17" s="290"/>
      <c r="R17" s="290"/>
      <c r="S17" s="290"/>
      <c r="T17" s="290"/>
      <c r="U17" s="292"/>
      <c r="V17" s="290"/>
      <c r="W17" s="290"/>
      <c r="X17" s="290"/>
    </row>
    <row r="18" spans="1:24" x14ac:dyDescent="0.2">
      <c r="A18" s="293">
        <f>IF(OR(ISBLANK(GRUPD!$B21),ISBLANK(GRUPD!$D21)),0,1)</f>
        <v>0</v>
      </c>
      <c r="B18" s="293">
        <f>IF(AND($A18=1,GRUPD!$B21&gt;GRUPD!$D21),1,0)</f>
        <v>0</v>
      </c>
      <c r="C18" s="293">
        <f>IF(AND($A18=1,GRUPD!$B21=GRUPD!$D21),1,0)</f>
        <v>0</v>
      </c>
      <c r="D18" s="293">
        <f>IF(AND($A18=1,GRUPD!$B21&lt;GRUPD!$D21),1,0)</f>
        <v>0</v>
      </c>
      <c r="E18" s="293" t="e">
        <f>IF(VLOOKUP(GRUPD!$A21,$N$2:$U$19,8,FALSE)=VLOOKUP(GRUPD!$E21,$N$2:$U$19,8,FALSE),1,0)</f>
        <v>#N/A</v>
      </c>
      <c r="F18" s="294" t="e">
        <f t="shared" si="1"/>
        <v>#N/A</v>
      </c>
      <c r="G18" s="294" t="e">
        <f>IF($E18=1,GRUPD!$B21-GRUPD!$D21,0)</f>
        <v>#N/A</v>
      </c>
      <c r="H18" s="294" t="e">
        <f>IF($E18=1,GRUPD!$D21,0)</f>
        <v>#N/A</v>
      </c>
      <c r="I18" s="287"/>
      <c r="J18" s="287"/>
      <c r="K18" s="290"/>
      <c r="L18" s="402"/>
      <c r="M18" s="402"/>
      <c r="N18" s="291"/>
      <c r="O18" s="290"/>
      <c r="P18" s="290"/>
      <c r="Q18" s="290"/>
      <c r="R18" s="290"/>
      <c r="S18" s="290"/>
      <c r="T18" s="290"/>
      <c r="U18" s="292"/>
      <c r="V18" s="290"/>
      <c r="W18" s="290"/>
      <c r="X18" s="290"/>
    </row>
    <row r="19" spans="1:24" x14ac:dyDescent="0.2">
      <c r="A19" s="293">
        <f>IF(OR(ISBLANK(GRUPD!$B22),ISBLANK(GRUPD!$D22)),0,1)</f>
        <v>0</v>
      </c>
      <c r="B19" s="293">
        <f>IF(AND($A19=1,GRUPD!$B22&gt;GRUPD!$D22),1,0)</f>
        <v>0</v>
      </c>
      <c r="C19" s="293">
        <f>IF(AND($A19=1,GRUPD!$B22=GRUPD!$D22),1,0)</f>
        <v>0</v>
      </c>
      <c r="D19" s="293">
        <f>IF(AND($A19=1,GRUPD!$B22&lt;GRUPD!$D22),1,0)</f>
        <v>0</v>
      </c>
      <c r="E19" s="293" t="e">
        <f>IF(VLOOKUP(GRUPD!$A22,$N$2:$U$19,8,FALSE)=VLOOKUP(GRUPD!$E22,$N$2:$U$19,8,FALSE),1,0)</f>
        <v>#N/A</v>
      </c>
      <c r="F19" s="294" t="e">
        <f t="shared" si="1"/>
        <v>#N/A</v>
      </c>
      <c r="G19" s="294" t="e">
        <f>IF($E19=1,GRUPD!$B22-GRUPD!$D22,0)</f>
        <v>#N/A</v>
      </c>
      <c r="H19" s="294" t="e">
        <f>IF($E19=1,GRUPD!$D22,0)</f>
        <v>#N/A</v>
      </c>
      <c r="I19" s="287"/>
      <c r="J19" s="287"/>
      <c r="K19" s="290"/>
      <c r="L19" s="402"/>
      <c r="M19" s="402"/>
      <c r="N19" s="291"/>
      <c r="O19" s="290"/>
      <c r="P19" s="290"/>
      <c r="Q19" s="290"/>
      <c r="R19" s="290"/>
      <c r="S19" s="290"/>
      <c r="T19" s="290"/>
      <c r="U19" s="292"/>
      <c r="V19" s="290"/>
      <c r="W19" s="290"/>
      <c r="X19" s="290"/>
    </row>
    <row r="20" spans="1:24" x14ac:dyDescent="0.2">
      <c r="A20" s="293">
        <f>IF(OR(ISBLANK(GRUPD!$B23),ISBLANK(GRUPD!$D23)),0,1)</f>
        <v>0</v>
      </c>
      <c r="B20" s="293">
        <f>IF(AND($A20=1,GRUPD!$B23&gt;GRUPD!$D23),1,0)</f>
        <v>0</v>
      </c>
      <c r="C20" s="293">
        <f>IF(AND($A20=1,GRUPD!$B23=GRUPD!$D23),1,0)</f>
        <v>0</v>
      </c>
      <c r="D20" s="293">
        <f>IF(AND($A20=1,GRUPD!$B23&lt;GRUPD!$D23),1,0)</f>
        <v>0</v>
      </c>
      <c r="E20" s="293" t="e">
        <f>IF(VLOOKUP(GRUPD!$A23,$N$2:$U$19,8,FALSE)=VLOOKUP(GRUPD!$E23,$N$2:$U$19,8,FALSE),1,0)</f>
        <v>#N/A</v>
      </c>
      <c r="F20" s="294" t="e">
        <f t="shared" si="1"/>
        <v>#N/A</v>
      </c>
      <c r="G20" s="294" t="e">
        <f>IF($E20=1,GRUPD!$B23-GRUPD!$D23,0)</f>
        <v>#N/A</v>
      </c>
      <c r="H20" s="294" t="e">
        <f>IF($E20=1,GRUPD!$D23,0)</f>
        <v>#N/A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x14ac:dyDescent="0.2">
      <c r="A21" s="293">
        <f>IF(OR(ISBLANK(GRUPD!$B24),ISBLANK(GRUPD!$D24)),0,1)</f>
        <v>0</v>
      </c>
      <c r="B21" s="293">
        <f>IF(AND($A21=1,GRUPD!$B24&gt;GRUPD!$D24),1,0)</f>
        <v>0</v>
      </c>
      <c r="C21" s="293">
        <f>IF(AND($A21=1,GRUPD!$B24=GRUPD!$D24),1,0)</f>
        <v>0</v>
      </c>
      <c r="D21" s="293">
        <f>IF(AND($A21=1,GRUPD!$B24&lt;GRUPD!$D24),1,0)</f>
        <v>0</v>
      </c>
      <c r="E21" s="293" t="e">
        <f>IF(VLOOKUP(GRUPD!$A24,$N$2:$U$19,8,FALSE)=VLOOKUP(GRUPD!$E24,$N$2:$U$19,8,FALSE),1,0)</f>
        <v>#N/A</v>
      </c>
      <c r="F21" s="294" t="e">
        <f t="shared" si="1"/>
        <v>#N/A</v>
      </c>
      <c r="G21" s="294" t="e">
        <f>IF($E21=1,GRUPD!$B24-GRUPD!$D24,0)</f>
        <v>#N/A</v>
      </c>
      <c r="H21" s="294" t="e">
        <f>IF($E21=1,GRUPD!$D24,0)</f>
        <v>#N/A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x14ac:dyDescent="0.2">
      <c r="A22" s="293">
        <f>IF(OR(ISBLANK(GRUPD!$B25),ISBLANK(GRUPD!$D25)),0,1)</f>
        <v>0</v>
      </c>
      <c r="B22" s="293">
        <f>IF(AND($A22=1,GRUPD!$B25&gt;GRUPD!$D25),1,0)</f>
        <v>0</v>
      </c>
      <c r="C22" s="293">
        <f>IF(AND($A22=1,GRUPD!$B25=GRUPD!$D25),1,0)</f>
        <v>0</v>
      </c>
      <c r="D22" s="293">
        <f>IF(AND($A22=1,GRUPD!$B25&lt;GRUPD!$D25),1,0)</f>
        <v>0</v>
      </c>
      <c r="E22" s="293" t="e">
        <f>IF(VLOOKUP(GRUPD!$A25,$N$2:$U$19,8,FALSE)=VLOOKUP(GRUPD!$E25,$N$2:$U$19,8,FALSE),1,0)</f>
        <v>#N/A</v>
      </c>
      <c r="F22" s="294" t="e">
        <f t="shared" si="1"/>
        <v>#N/A</v>
      </c>
      <c r="G22" s="294" t="e">
        <f>IF($E22=1,GRUPD!$B25-GRUPD!$D25,0)</f>
        <v>#N/A</v>
      </c>
      <c r="H22" s="294" t="e">
        <f>IF($E22=1,GRUPD!$D25,0)</f>
        <v>#N/A</v>
      </c>
      <c r="I22" s="287"/>
      <c r="J22" s="287"/>
      <c r="K22" s="287"/>
      <c r="L22" s="287"/>
      <c r="M22" s="287"/>
      <c r="N22" s="295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x14ac:dyDescent="0.2">
      <c r="A23" s="293"/>
      <c r="B23" s="293"/>
      <c r="C23" s="293"/>
      <c r="D23" s="293"/>
      <c r="E23" s="293"/>
      <c r="F23" s="294"/>
      <c r="G23" s="294"/>
      <c r="H23" s="294"/>
      <c r="I23" s="287"/>
      <c r="J23" s="287"/>
      <c r="K23" s="287"/>
      <c r="L23" s="287"/>
      <c r="M23" s="287"/>
      <c r="N23" s="296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x14ac:dyDescent="0.2">
      <c r="A24" s="293"/>
      <c r="B24" s="293"/>
      <c r="C24" s="293"/>
      <c r="D24" s="293"/>
      <c r="E24" s="293"/>
      <c r="F24" s="294"/>
      <c r="G24" s="294"/>
      <c r="H24" s="294"/>
      <c r="I24" s="287"/>
      <c r="J24" s="287"/>
      <c r="K24" s="287"/>
      <c r="L24" s="287"/>
      <c r="M24" s="287"/>
      <c r="N24" s="296"/>
      <c r="O24" s="287"/>
      <c r="P24" s="287"/>
      <c r="Q24" s="287"/>
      <c r="R24" s="287"/>
      <c r="S24" s="287"/>
      <c r="T24" s="287"/>
      <c r="U24" s="287"/>
      <c r="V24" s="287"/>
      <c r="W24" s="297"/>
      <c r="X24" s="287"/>
    </row>
    <row r="25" spans="1:24" x14ac:dyDescent="0.2">
      <c r="A25" s="293">
        <f>IF(OR(ISBLANK(GRUPD!$B28),ISBLANK(GRUPD!$D28)),0,1)</f>
        <v>0</v>
      </c>
      <c r="B25" s="293">
        <f>IF(AND($A25=1,GRUPD!$B28&gt;GRUPD!$D28),1,0)</f>
        <v>0</v>
      </c>
      <c r="C25" s="293">
        <f>IF(AND($A25=1,GRUPD!$B28=GRUPD!$D28),1,0)</f>
        <v>0</v>
      </c>
      <c r="D25" s="293">
        <f>IF(AND($A25=1,GRUPD!$B28&lt;GRUPD!$D28),1,0)</f>
        <v>0</v>
      </c>
      <c r="E25" s="293" t="e">
        <f>IF(VLOOKUP(GRUPD!$A28,$N$2:$U$19,8,FALSE)=VLOOKUP(GRUPD!$E28,$N$2:$U$19,8,FALSE),1,0)</f>
        <v>#REF!</v>
      </c>
      <c r="F25" s="294" t="e">
        <f t="shared" ref="F25:F33" si="2">IF($E25=1,2*$B25-2*$D25,0)</f>
        <v>#REF!</v>
      </c>
      <c r="G25" s="294" t="e">
        <f>IF($E25=1,GRUPD!$B28-GRUPD!$D28,0)</f>
        <v>#REF!</v>
      </c>
      <c r="H25" s="294" t="e">
        <f>IF($E25=1,GRUPD!$D28,0)</f>
        <v>#REF!</v>
      </c>
      <c r="I25" s="287"/>
      <c r="J25" s="287"/>
      <c r="L25" s="298"/>
      <c r="M25" s="298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x14ac:dyDescent="0.2">
      <c r="A26" s="293">
        <f>IF(OR(ISBLANK(GRUPD!$B29),ISBLANK(GRUPD!$D29)),0,1)</f>
        <v>0</v>
      </c>
      <c r="B26" s="293">
        <f>IF(AND($A26=1,GRUPD!$B29&gt;GRUPD!$D29),1,0)</f>
        <v>0</v>
      </c>
      <c r="C26" s="293">
        <f>IF(AND($A26=1,GRUPD!$B29=GRUPD!$D29),1,0)</f>
        <v>0</v>
      </c>
      <c r="D26" s="293">
        <f>IF(AND($A26=1,GRUPD!$B29&lt;GRUPD!$D29),1,0)</f>
        <v>0</v>
      </c>
      <c r="E26" s="293" t="e">
        <f>IF(VLOOKUP(GRUPD!$A29,$N$2:$U$19,8,FALSE)=VLOOKUP(GRUPD!$E29,$N$2:$U$19,8,FALSE),1,0)</f>
        <v>#REF!</v>
      </c>
      <c r="F26" s="294" t="e">
        <f t="shared" si="2"/>
        <v>#REF!</v>
      </c>
      <c r="G26" s="294" t="e">
        <f>IF($E26=1,GRUPD!$B29-GRUPD!$D29,0)</f>
        <v>#REF!</v>
      </c>
      <c r="H26" s="294" t="e">
        <f>IF($E26=1,GRUPD!$D29,0)</f>
        <v>#REF!</v>
      </c>
      <c r="I26" s="287"/>
      <c r="J26" s="287"/>
      <c r="K26" s="298"/>
      <c r="L26" s="298"/>
      <c r="M26" s="298"/>
      <c r="N26" s="299"/>
      <c r="O26" s="287"/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x14ac:dyDescent="0.2">
      <c r="A27" s="293">
        <f>IF(OR(ISBLANK(GRUPD!$B30),ISBLANK(GRUPD!$D30)),0,1)</f>
        <v>0</v>
      </c>
      <c r="B27" s="293">
        <f>IF(AND($A27=1,GRUPD!$B30&gt;GRUPD!$D30),1,0)</f>
        <v>0</v>
      </c>
      <c r="C27" s="293">
        <f>IF(AND($A27=1,GRUPD!$B30=GRUPD!$D30),1,0)</f>
        <v>0</v>
      </c>
      <c r="D27" s="293">
        <f>IF(AND($A27=1,GRUPD!$B30&lt;GRUPD!$D30),1,0)</f>
        <v>0</v>
      </c>
      <c r="E27" s="293" t="e">
        <f>IF(VLOOKUP(GRUPD!$A30,$N$2:$U$19,8,FALSE)=VLOOKUP(GRUPD!$E30,$N$2:$U$19,8,FALSE),1,0)</f>
        <v>#N/A</v>
      </c>
      <c r="F27" s="294" t="e">
        <f t="shared" si="2"/>
        <v>#N/A</v>
      </c>
      <c r="G27" s="294" t="e">
        <f>IF($E27=1,GRUPD!$B30-GRUPD!$D30,0)</f>
        <v>#N/A</v>
      </c>
      <c r="H27" s="294" t="e">
        <f>IF($E27=1,GRUPD!$D30,0)</f>
        <v>#N/A</v>
      </c>
      <c r="I27" s="287"/>
      <c r="J27" s="287"/>
      <c r="K27" s="298"/>
      <c r="L27" s="298"/>
      <c r="M27" s="298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x14ac:dyDescent="0.2">
      <c r="A28" s="293">
        <f>IF(OR(ISBLANK(GRUPD!#REF!),ISBLANK(GRUPD!#REF!)),0,1)</f>
        <v>1</v>
      </c>
      <c r="B28" s="293" t="e">
        <f>IF(AND($A28=1,GRUPD!#REF!&gt;GRUPD!#REF!),1,0)</f>
        <v>#REF!</v>
      </c>
      <c r="C28" s="293" t="e">
        <f>IF(AND($A28=1,GRUPD!#REF!=GRUPD!#REF!),1,0)</f>
        <v>#REF!</v>
      </c>
      <c r="D28" s="293" t="e">
        <f>IF(AND($A28=1,GRUPD!#REF!&lt;GRUPD!#REF!),1,0)</f>
        <v>#REF!</v>
      </c>
      <c r="E28" s="293" t="e">
        <f>IF(VLOOKUP(GRUPD!#REF!,$N$2:$U$19,8,FALSE)=VLOOKUP(GRUPD!#REF!,$N$2:$U$19,8,FALSE),1,0)</f>
        <v>#REF!</v>
      </c>
      <c r="F28" s="294" t="e">
        <f t="shared" si="2"/>
        <v>#REF!</v>
      </c>
      <c r="G28" s="294" t="e">
        <f>IF($E28=1,GRUPD!#REF!-GRUPD!#REF!,0)</f>
        <v>#REF!</v>
      </c>
      <c r="H28" s="294" t="e">
        <f>IF($E28=1,GRUPD!#REF!,0)</f>
        <v>#REF!</v>
      </c>
      <c r="I28" s="287"/>
      <c r="J28" s="287"/>
      <c r="K28" s="298"/>
      <c r="L28" s="298"/>
      <c r="M28" s="298"/>
      <c r="O28" s="287"/>
      <c r="P28" s="287"/>
      <c r="Q28" s="287"/>
      <c r="R28" s="287"/>
      <c r="S28" s="287"/>
      <c r="T28" s="287"/>
      <c r="U28" s="287"/>
      <c r="V28" s="287"/>
      <c r="W28" s="297"/>
      <c r="X28" s="287"/>
    </row>
    <row r="29" spans="1:24" x14ac:dyDescent="0.2">
      <c r="A29" s="293">
        <f>IF(OR(ISBLANK(GRUPD!#REF!),ISBLANK(GRUPD!#REF!)),0,1)</f>
        <v>1</v>
      </c>
      <c r="B29" s="293" t="e">
        <f>IF(AND($A29=1,GRUPD!#REF!&gt;GRUPD!#REF!),1,0)</f>
        <v>#REF!</v>
      </c>
      <c r="C29" s="293" t="e">
        <f>IF(AND($A29=1,GRUPD!#REF!=GRUPD!#REF!),1,0)</f>
        <v>#REF!</v>
      </c>
      <c r="D29" s="293" t="e">
        <f>IF(AND($A29=1,GRUPD!#REF!&lt;GRUPD!#REF!),1,0)</f>
        <v>#REF!</v>
      </c>
      <c r="E29" s="293" t="e">
        <f>IF(VLOOKUP(GRUPD!#REF!,$N$2:$U$19,8,FALSE)=VLOOKUP(GRUPD!#REF!,$N$2:$U$19,8,FALSE),1,0)</f>
        <v>#REF!</v>
      </c>
      <c r="F29" s="294" t="e">
        <f t="shared" si="2"/>
        <v>#REF!</v>
      </c>
      <c r="G29" s="294" t="e">
        <f>IF($E29=1,GRUPD!#REF!-GRUPD!#REF!,0)</f>
        <v>#REF!</v>
      </c>
      <c r="H29" s="294" t="e">
        <f>IF($E29=1,GRUPD!#REF!,0)</f>
        <v>#REF!</v>
      </c>
      <c r="I29" s="287"/>
      <c r="J29" s="287"/>
      <c r="K29" s="298"/>
      <c r="L29" s="298"/>
      <c r="M29" s="298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x14ac:dyDescent="0.2">
      <c r="A30" s="293">
        <f>IF(OR(ISBLANK(GRUPD!#REF!),ISBLANK(GRUPD!#REF!)),0,1)</f>
        <v>1</v>
      </c>
      <c r="B30" s="293" t="e">
        <f>IF(AND($A30=1,GRUPD!#REF!&gt;GRUPD!#REF!),1,0)</f>
        <v>#REF!</v>
      </c>
      <c r="C30" s="293" t="e">
        <f>IF(AND($A30=1,GRUPD!#REF!=GRUPD!#REF!),1,0)</f>
        <v>#REF!</v>
      </c>
      <c r="D30" s="293" t="e">
        <f>IF(AND($A30=1,GRUPD!#REF!&lt;GRUPD!#REF!),1,0)</f>
        <v>#REF!</v>
      </c>
      <c r="E30" s="293" t="e">
        <f>IF(VLOOKUP(GRUPD!#REF!,$N$2:$U$19,8,FALSE)=VLOOKUP(GRUPD!#REF!,$N$2:$U$19,8,FALSE),1,0)</f>
        <v>#REF!</v>
      </c>
      <c r="F30" s="294" t="e">
        <f t="shared" si="2"/>
        <v>#REF!</v>
      </c>
      <c r="G30" s="294" t="e">
        <f>IF($E30=1,GRUPD!#REF!-GRUPD!#REF!,0)</f>
        <v>#REF!</v>
      </c>
      <c r="H30" s="294" t="e">
        <f>IF($E30=1,GRUPD!#REF!,0)</f>
        <v>#REF!</v>
      </c>
      <c r="I30" s="287"/>
      <c r="J30" s="287"/>
      <c r="K30" s="298"/>
      <c r="L30" s="298"/>
      <c r="M30" s="298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x14ac:dyDescent="0.2">
      <c r="A31" s="293">
        <f>IF(OR(ISBLANK(GRUPD!#REF!),ISBLANK(GRUPD!#REF!)),0,1)</f>
        <v>1</v>
      </c>
      <c r="B31" s="293" t="e">
        <f>IF(AND($A31=1,GRUPD!#REF!&gt;GRUPD!#REF!),1,0)</f>
        <v>#REF!</v>
      </c>
      <c r="C31" s="293" t="e">
        <f>IF(AND($A31=1,GRUPD!#REF!=GRUPD!#REF!),1,0)</f>
        <v>#REF!</v>
      </c>
      <c r="D31" s="293" t="e">
        <f>IF(AND($A31=1,GRUPD!#REF!&lt;GRUPD!#REF!),1,0)</f>
        <v>#REF!</v>
      </c>
      <c r="E31" s="293" t="e">
        <f>IF(VLOOKUP(GRUPD!#REF!,$N$2:$U$19,8,FALSE)=VLOOKUP(GRUPD!#REF!,$N$2:$U$19,8,FALSE),1,0)</f>
        <v>#REF!</v>
      </c>
      <c r="F31" s="294" t="e">
        <f t="shared" si="2"/>
        <v>#REF!</v>
      </c>
      <c r="G31" s="294" t="e">
        <f>IF($E31=1,GRUPD!#REF!-GRUPD!#REF!,0)</f>
        <v>#REF!</v>
      </c>
      <c r="H31" s="294" t="e">
        <f>IF($E31=1,GRUPD!#REF!,0)</f>
        <v>#REF!</v>
      </c>
      <c r="I31" s="287"/>
      <c r="J31" s="287"/>
      <c r="K31" s="298"/>
      <c r="L31" s="298"/>
      <c r="M31" s="298"/>
      <c r="N31" s="299"/>
      <c r="O31" s="287"/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x14ac:dyDescent="0.2">
      <c r="A32" s="293">
        <f>IF(OR(ISBLANK(GRUPD!#REF!),ISBLANK(GRUPD!#REF!)),0,1)</f>
        <v>1</v>
      </c>
      <c r="B32" s="293" t="e">
        <f>IF(AND($A32=1,GRUPD!#REF!&gt;GRUPD!#REF!),1,0)</f>
        <v>#REF!</v>
      </c>
      <c r="C32" s="293" t="e">
        <f>IF(AND($A32=1,GRUPD!#REF!=GRUPD!#REF!),1,0)</f>
        <v>#REF!</v>
      </c>
      <c r="D32" s="293" t="e">
        <f>IF(AND($A32=1,GRUPD!#REF!&lt;GRUPD!#REF!),1,0)</f>
        <v>#REF!</v>
      </c>
      <c r="E32" s="293" t="e">
        <f>IF(VLOOKUP(GRUPD!#REF!,$N$2:$U$19,8,FALSE)=VLOOKUP(GRUPD!#REF!,$N$2:$U$19,8,FALSE),1,0)</f>
        <v>#REF!</v>
      </c>
      <c r="F32" s="294" t="e">
        <f t="shared" si="2"/>
        <v>#REF!</v>
      </c>
      <c r="G32" s="294" t="e">
        <f>IF($E32=1,GRUPD!#REF!-GRUPD!#REF!,0)</f>
        <v>#REF!</v>
      </c>
      <c r="H32" s="294" t="e">
        <f>IF($E32=1,GRUPD!#REF!,0)</f>
        <v>#REF!</v>
      </c>
      <c r="I32" s="287"/>
      <c r="J32" s="287"/>
      <c r="K32" s="299"/>
      <c r="L32" s="298"/>
      <c r="M32" s="298"/>
      <c r="N32" s="299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4" x14ac:dyDescent="0.2">
      <c r="A33" s="293">
        <f>IF(OR(ISBLANK(GRUPD!#REF!),ISBLANK(GRUPD!#REF!)),0,1)</f>
        <v>1</v>
      </c>
      <c r="B33" s="293" t="e">
        <f>IF(AND($A33=1,GRUPD!#REF!&gt;GRUPD!#REF!),1,0)</f>
        <v>#REF!</v>
      </c>
      <c r="C33" s="293" t="e">
        <f>IF(AND($A33=1,GRUPD!#REF!=GRUPD!#REF!),1,0)</f>
        <v>#REF!</v>
      </c>
      <c r="D33" s="293" t="e">
        <f>IF(AND($A33=1,GRUPD!#REF!&lt;GRUPD!#REF!),1,0)</f>
        <v>#REF!</v>
      </c>
      <c r="E33" s="293" t="e">
        <f>IF(VLOOKUP(GRUPD!#REF!,$N$2:$U$19,8,FALSE)=VLOOKUP(GRUPD!#REF!,$N$2:$U$19,8,FALSE),1,0)</f>
        <v>#REF!</v>
      </c>
      <c r="F33" s="294" t="e">
        <f t="shared" si="2"/>
        <v>#REF!</v>
      </c>
      <c r="G33" s="294" t="e">
        <f>IF($E33=1,GRUPD!#REF!-GRUPD!#REF!,0)</f>
        <v>#REF!</v>
      </c>
      <c r="H33" s="294" t="e">
        <f>IF($E33=1,GRUPD!#REF!,0)</f>
        <v>#REF!</v>
      </c>
      <c r="I33" s="287"/>
      <c r="J33" s="287"/>
      <c r="K33" s="298"/>
      <c r="L33" s="298"/>
      <c r="M33" s="298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x14ac:dyDescent="0.2">
      <c r="A34" s="293"/>
      <c r="B34" s="293"/>
      <c r="C34" s="293"/>
      <c r="D34" s="293"/>
      <c r="E34" s="293"/>
      <c r="F34" s="294"/>
      <c r="G34" s="294"/>
      <c r="H34" s="294"/>
      <c r="I34" s="287"/>
      <c r="J34" s="287"/>
      <c r="K34" s="299"/>
      <c r="L34" s="287"/>
      <c r="M34" s="287"/>
      <c r="N34" s="295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1:24" x14ac:dyDescent="0.2">
      <c r="A35" s="293"/>
      <c r="B35" s="293"/>
      <c r="C35" s="293"/>
      <c r="D35" s="293"/>
      <c r="E35" s="293"/>
      <c r="F35" s="294"/>
      <c r="G35" s="294"/>
      <c r="H35" s="294"/>
      <c r="I35" s="287"/>
      <c r="J35" s="287"/>
      <c r="K35" s="299"/>
      <c r="L35" s="287"/>
      <c r="M35" s="287"/>
      <c r="N35" s="296"/>
      <c r="O35" s="287"/>
      <c r="P35" s="287"/>
      <c r="Q35" s="287"/>
      <c r="R35" s="287"/>
      <c r="S35" s="287"/>
      <c r="T35" s="287"/>
      <c r="U35" s="287"/>
      <c r="V35" s="287"/>
      <c r="W35" s="287"/>
      <c r="X35" s="287"/>
    </row>
    <row r="36" spans="1:24" x14ac:dyDescent="0.2">
      <c r="A36" s="293">
        <f>IF(OR(ISBLANK(GRUPD!#REF!),ISBLANK(GRUPD!#REF!)),0,1)</f>
        <v>1</v>
      </c>
      <c r="B36" s="293" t="e">
        <f>IF(AND($A36=1,GRUPD!#REF!&gt;GRUPD!#REF!),1,0)</f>
        <v>#REF!</v>
      </c>
      <c r="C36" s="293" t="e">
        <f>IF(AND($A36=1,GRUPD!#REF!=GRUPD!#REF!),1,0)</f>
        <v>#REF!</v>
      </c>
      <c r="D36" s="293" t="e">
        <f>IF(AND($A36=1,GRUPD!#REF!&lt;GRUPD!#REF!),1,0)</f>
        <v>#REF!</v>
      </c>
      <c r="E36" s="293" t="e">
        <f>IF(VLOOKUP(GRUPD!#REF!,$N$2:$U$19,8,FALSE)=VLOOKUP(GRUPD!#REF!,$N$2:$U$19,8,FALSE),1,0)</f>
        <v>#REF!</v>
      </c>
      <c r="F36" s="294" t="e">
        <f t="shared" ref="F36:F44" si="3">IF($E36=1,2*$B36-2*$D36,0)</f>
        <v>#REF!</v>
      </c>
      <c r="G36" s="294" t="e">
        <f>IF($E36=1,GRUPD!#REF!-GRUPD!#REF!,0)</f>
        <v>#REF!</v>
      </c>
      <c r="H36" s="294" t="e">
        <f>IF($E36=1,GRUPD!#REF!,0)</f>
        <v>#REF!</v>
      </c>
      <c r="I36" s="287"/>
      <c r="J36" s="287"/>
      <c r="K36" s="298"/>
      <c r="L36" s="287"/>
      <c r="M36" s="287"/>
      <c r="N36" s="296"/>
      <c r="O36" s="287"/>
      <c r="P36" s="287"/>
      <c r="Q36" s="287"/>
      <c r="R36" s="287"/>
      <c r="S36" s="287"/>
      <c r="T36" s="287"/>
      <c r="U36" s="287"/>
      <c r="V36" s="287"/>
      <c r="W36" s="287"/>
      <c r="X36" s="287"/>
    </row>
    <row r="37" spans="1:24" x14ac:dyDescent="0.2">
      <c r="A37" s="293">
        <f>IF(OR(ISBLANK(GRUPD!#REF!),ISBLANK(GRUPD!#REF!)),0,1)</f>
        <v>1</v>
      </c>
      <c r="B37" s="293" t="e">
        <f>IF(AND($A37=1,GRUPD!#REF!&gt;GRUPD!#REF!),1,0)</f>
        <v>#REF!</v>
      </c>
      <c r="C37" s="293" t="e">
        <f>IF(AND($A37=1,GRUPD!#REF!=GRUPD!#REF!),1,0)</f>
        <v>#REF!</v>
      </c>
      <c r="D37" s="293" t="e">
        <f>IF(AND($A37=1,GRUPD!#REF!&lt;GRUPD!#REF!),1,0)</f>
        <v>#REF!</v>
      </c>
      <c r="E37" s="293" t="e">
        <f>IF(VLOOKUP(GRUPD!#REF!,$N$2:$U$19,8,FALSE)=VLOOKUP(GRUPD!#REF!,$N$2:$U$19,8,FALSE),1,0)</f>
        <v>#REF!</v>
      </c>
      <c r="F37" s="294" t="e">
        <f t="shared" si="3"/>
        <v>#REF!</v>
      </c>
      <c r="G37" s="294" t="e">
        <f>IF($E37=1,GRUPD!#REF!-GRUPD!#REF!,0)</f>
        <v>#REF!</v>
      </c>
      <c r="H37" s="294" t="e">
        <f>IF($E37=1,GRUPD!#REF!,0)</f>
        <v>#REF!</v>
      </c>
      <c r="I37" s="287"/>
      <c r="J37" s="287"/>
      <c r="K37" s="299"/>
      <c r="L37" s="287"/>
      <c r="M37" s="287"/>
      <c r="N37" s="296"/>
      <c r="O37" s="287"/>
      <c r="P37" s="287"/>
      <c r="Q37" s="287"/>
      <c r="R37" s="287"/>
      <c r="S37" s="287"/>
      <c r="T37" s="287"/>
      <c r="U37" s="287"/>
      <c r="V37" s="287"/>
      <c r="W37" s="287"/>
      <c r="X37" s="287"/>
    </row>
    <row r="38" spans="1:24" x14ac:dyDescent="0.2">
      <c r="A38" s="293">
        <f>IF(OR(ISBLANK(GRUPD!#REF!),ISBLANK(GRUPD!#REF!)),0,1)</f>
        <v>1</v>
      </c>
      <c r="B38" s="293" t="e">
        <f>IF(AND($A38=1,GRUPD!#REF!&gt;GRUPD!#REF!),1,0)</f>
        <v>#REF!</v>
      </c>
      <c r="C38" s="293" t="e">
        <f>IF(AND($A38=1,GRUPD!#REF!=GRUPD!#REF!),1,0)</f>
        <v>#REF!</v>
      </c>
      <c r="D38" s="293" t="e">
        <f>IF(AND($A38=1,GRUPD!#REF!&lt;GRUPD!#REF!),1,0)</f>
        <v>#REF!</v>
      </c>
      <c r="E38" s="293" t="e">
        <f>IF(VLOOKUP(GRUPD!#REF!,$N$2:$U$19,8,FALSE)=VLOOKUP(GRUPD!#REF!,$N$2:$U$19,8,FALSE),1,0)</f>
        <v>#REF!</v>
      </c>
      <c r="F38" s="294" t="e">
        <f t="shared" si="3"/>
        <v>#REF!</v>
      </c>
      <c r="G38" s="294" t="e">
        <f>IF($E38=1,GRUPD!#REF!-GRUPD!#REF!,0)</f>
        <v>#REF!</v>
      </c>
      <c r="H38" s="294" t="e">
        <f>IF($E38=1,GRUPD!#REF!,0)</f>
        <v>#REF!</v>
      </c>
      <c r="I38" s="287"/>
      <c r="J38" s="287"/>
      <c r="K38" s="299"/>
      <c r="L38" s="287"/>
      <c r="M38" s="287"/>
      <c r="N38" s="296"/>
      <c r="O38" s="287"/>
      <c r="P38" s="287"/>
      <c r="Q38" s="287"/>
      <c r="R38" s="287"/>
      <c r="S38" s="287"/>
      <c r="T38" s="287"/>
      <c r="U38" s="287"/>
      <c r="V38" s="287"/>
      <c r="W38" s="287"/>
      <c r="X38" s="287"/>
    </row>
    <row r="39" spans="1:24" x14ac:dyDescent="0.2">
      <c r="A39" s="293">
        <f>IF(OR(ISBLANK(GRUPD!#REF!),ISBLANK(GRUPD!#REF!)),0,1)</f>
        <v>1</v>
      </c>
      <c r="B39" s="293" t="e">
        <f>IF(AND($A39=1,GRUPD!#REF!&gt;GRUPD!#REF!),1,0)</f>
        <v>#REF!</v>
      </c>
      <c r="C39" s="293" t="e">
        <f>IF(AND($A39=1,GRUPD!#REF!=GRUPD!#REF!),1,0)</f>
        <v>#REF!</v>
      </c>
      <c r="D39" s="293" t="e">
        <f>IF(AND($A39=1,GRUPD!#REF!&lt;GRUPD!#REF!),1,0)</f>
        <v>#REF!</v>
      </c>
      <c r="E39" s="293" t="e">
        <f>IF(VLOOKUP(GRUPD!#REF!,$N$2:$U$19,8,FALSE)=VLOOKUP(GRUPD!#REF!,$N$2:$U$19,8,FALSE),1,0)</f>
        <v>#REF!</v>
      </c>
      <c r="F39" s="294" t="e">
        <f t="shared" si="3"/>
        <v>#REF!</v>
      </c>
      <c r="G39" s="294" t="e">
        <f>IF($E39=1,GRUPD!#REF!-GRUPD!#REF!,0)</f>
        <v>#REF!</v>
      </c>
      <c r="H39" s="294" t="e">
        <f>IF($E39=1,GRUPD!#REF!,0)</f>
        <v>#REF!</v>
      </c>
      <c r="I39" s="287"/>
      <c r="J39" s="287"/>
      <c r="K39" s="299"/>
      <c r="L39" s="287"/>
      <c r="M39" s="287"/>
      <c r="N39" s="296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1:24" x14ac:dyDescent="0.2">
      <c r="A40" s="293">
        <f>IF(OR(ISBLANK(GRUPD!#REF!),ISBLANK(GRUPD!#REF!)),0,1)</f>
        <v>1</v>
      </c>
      <c r="B40" s="293" t="e">
        <f>IF(AND($A40=1,GRUPD!#REF!&gt;GRUPD!#REF!),1,0)</f>
        <v>#REF!</v>
      </c>
      <c r="C40" s="293" t="e">
        <f>IF(AND($A40=1,GRUPD!#REF!=GRUPD!#REF!),1,0)</f>
        <v>#REF!</v>
      </c>
      <c r="D40" s="293" t="e">
        <f>IF(AND($A40=1,GRUPD!#REF!&lt;GRUPD!#REF!),1,0)</f>
        <v>#REF!</v>
      </c>
      <c r="E40" s="293" t="e">
        <f>IF(VLOOKUP(GRUPD!#REF!,$N$2:$U$19,8,FALSE)=VLOOKUP(GRUPD!#REF!,$N$2:$U$19,8,FALSE),1,0)</f>
        <v>#REF!</v>
      </c>
      <c r="F40" s="294" t="e">
        <f t="shared" si="3"/>
        <v>#REF!</v>
      </c>
      <c r="G40" s="294" t="e">
        <f>IF($E40=1,GRUPD!#REF!-GRUPD!#REF!,0)</f>
        <v>#REF!</v>
      </c>
      <c r="H40" s="294" t="e">
        <f>IF($E40=1,GRUPD!#REF!,0)</f>
        <v>#REF!</v>
      </c>
      <c r="I40" s="287"/>
      <c r="J40" s="287"/>
      <c r="K40" s="287"/>
      <c r="L40" s="287"/>
      <c r="M40" s="287"/>
      <c r="N40" s="296"/>
      <c r="O40" s="287"/>
      <c r="P40" s="287"/>
      <c r="Q40" s="287"/>
      <c r="R40" s="287"/>
      <c r="S40" s="287"/>
      <c r="T40" s="287"/>
      <c r="U40" s="287"/>
      <c r="V40" s="287"/>
      <c r="W40" s="287"/>
      <c r="X40" s="287"/>
    </row>
    <row r="41" spans="1:24" x14ac:dyDescent="0.2">
      <c r="A41" s="293">
        <f>IF(OR(ISBLANK(GRUPD!#REF!),ISBLANK(GRUPD!#REF!)),0,1)</f>
        <v>1</v>
      </c>
      <c r="B41" s="293" t="e">
        <f>IF(AND($A41=1,GRUPD!#REF!&gt;GRUPD!#REF!),1,0)</f>
        <v>#REF!</v>
      </c>
      <c r="C41" s="293" t="e">
        <f>IF(AND($A41=1,GRUPD!#REF!=GRUPD!#REF!),1,0)</f>
        <v>#REF!</v>
      </c>
      <c r="D41" s="293" t="e">
        <f>IF(AND($A41=1,GRUPD!#REF!&lt;GRUPD!#REF!),1,0)</f>
        <v>#REF!</v>
      </c>
      <c r="E41" s="293" t="e">
        <f>IF(VLOOKUP(GRUPD!#REF!,$N$2:$U$19,8,FALSE)=VLOOKUP(GRUPD!#REF!,$N$2:$U$19,8,FALSE),1,0)</f>
        <v>#REF!</v>
      </c>
      <c r="F41" s="294" t="e">
        <f t="shared" si="3"/>
        <v>#REF!</v>
      </c>
      <c r="G41" s="294" t="e">
        <f>IF($E41=1,GRUPD!#REF!-GRUPD!#REF!,0)</f>
        <v>#REF!</v>
      </c>
      <c r="H41" s="294" t="e">
        <f>IF($E41=1,GRUPD!#REF!,0)</f>
        <v>#REF!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1:24" x14ac:dyDescent="0.2">
      <c r="A42" s="293">
        <f>IF(OR(ISBLANK(GRUPD!#REF!),ISBLANK(GRUPD!#REF!)),0,1)</f>
        <v>1</v>
      </c>
      <c r="B42" s="293" t="e">
        <f>IF(AND($A42=1,GRUPD!#REF!&gt;GRUPD!#REF!),1,0)</f>
        <v>#REF!</v>
      </c>
      <c r="C42" s="293" t="e">
        <f>IF(AND($A42=1,GRUPD!#REF!=GRUPD!#REF!),1,0)</f>
        <v>#REF!</v>
      </c>
      <c r="D42" s="293" t="e">
        <f>IF(AND($A42=1,GRUPD!#REF!&lt;GRUPD!#REF!),1,0)</f>
        <v>#REF!</v>
      </c>
      <c r="E42" s="293" t="e">
        <f>IF(VLOOKUP(GRUPD!#REF!,$N$2:$U$19,8,FALSE)=VLOOKUP(GRUPD!#REF!,$N$2:$U$19,8,FALSE),1,0)</f>
        <v>#REF!</v>
      </c>
      <c r="F42" s="294" t="e">
        <f t="shared" si="3"/>
        <v>#REF!</v>
      </c>
      <c r="G42" s="294" t="e">
        <f>IF($E42=1,GRUPD!#REF!-GRUPD!#REF!,0)</f>
        <v>#REF!</v>
      </c>
      <c r="H42" s="294" t="e">
        <f>IF($E42=1,GRUPD!#REF!,0)</f>
        <v>#REF!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</row>
    <row r="43" spans="1:24" x14ac:dyDescent="0.2">
      <c r="A43" s="293">
        <f>IF(OR(ISBLANK(GRUPD!#REF!),ISBLANK(GRUPD!#REF!)),0,1)</f>
        <v>1</v>
      </c>
      <c r="B43" s="293" t="e">
        <f>IF(AND($A43=1,GRUPD!#REF!&gt;GRUPD!#REF!),1,0)</f>
        <v>#REF!</v>
      </c>
      <c r="C43" s="293" t="e">
        <f>IF(AND($A43=1,GRUPD!#REF!=GRUPD!#REF!),1,0)</f>
        <v>#REF!</v>
      </c>
      <c r="D43" s="293" t="e">
        <f>IF(AND($A43=1,GRUPD!#REF!&lt;GRUPD!#REF!),1,0)</f>
        <v>#REF!</v>
      </c>
      <c r="E43" s="293" t="e">
        <f>IF(VLOOKUP(GRUPD!#REF!,$N$2:$U$19,8,FALSE)=VLOOKUP(GRUPD!#REF!,$N$2:$U$19,8,FALSE),1,0)</f>
        <v>#REF!</v>
      </c>
      <c r="F43" s="294" t="e">
        <f t="shared" si="3"/>
        <v>#REF!</v>
      </c>
      <c r="G43" s="294" t="e">
        <f>IF($E43=1,GRUPD!#REF!-GRUPD!#REF!,0)</f>
        <v>#REF!</v>
      </c>
      <c r="H43" s="294" t="e">
        <f>IF($E43=1,GRUPD!#REF!,0)</f>
        <v>#REF!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</row>
    <row r="44" spans="1:24" x14ac:dyDescent="0.2">
      <c r="A44" s="293">
        <f>IF(OR(ISBLANK(GRUPD!#REF!),ISBLANK(GRUPD!#REF!)),0,1)</f>
        <v>1</v>
      </c>
      <c r="B44" s="293" t="e">
        <f>IF(AND($A44=1,GRUPD!#REF!&gt;GRUPD!#REF!),1,0)</f>
        <v>#REF!</v>
      </c>
      <c r="C44" s="293" t="e">
        <f>IF(AND($A44=1,GRUPD!#REF!=GRUPD!#REF!),1,0)</f>
        <v>#REF!</v>
      </c>
      <c r="D44" s="293" t="e">
        <f>IF(AND($A44=1,GRUPD!#REF!&lt;GRUPD!#REF!),1,0)</f>
        <v>#REF!</v>
      </c>
      <c r="E44" s="293" t="e">
        <f>IF(VLOOKUP(GRUPD!#REF!,$N$2:$U$19,8,FALSE)=VLOOKUP(GRUPD!#REF!,$N$2:$U$19,8,FALSE),1,0)</f>
        <v>#REF!</v>
      </c>
      <c r="F44" s="294" t="e">
        <f t="shared" si="3"/>
        <v>#REF!</v>
      </c>
      <c r="G44" s="294" t="e">
        <f>IF($E44=1,GRUPD!#REF!-GRUPD!#REF!,0)</f>
        <v>#REF!</v>
      </c>
      <c r="H44" s="294" t="e">
        <f>IF($E44=1,GRUPD!#REF!,0)</f>
        <v>#REF!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</row>
    <row r="45" spans="1:24" x14ac:dyDescent="0.2">
      <c r="A45" s="293"/>
      <c r="B45" s="293"/>
      <c r="C45" s="293"/>
      <c r="D45" s="293"/>
      <c r="E45" s="293"/>
      <c r="F45" s="294"/>
      <c r="G45" s="294"/>
      <c r="H45" s="294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</row>
    <row r="46" spans="1:24" x14ac:dyDescent="0.2">
      <c r="A46" s="293"/>
      <c r="B46" s="293"/>
      <c r="C46" s="293"/>
      <c r="D46" s="293"/>
      <c r="E46" s="293"/>
      <c r="F46" s="294"/>
      <c r="G46" s="294"/>
      <c r="H46" s="294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1:24" x14ac:dyDescent="0.2">
      <c r="A47" s="293"/>
      <c r="B47" s="293"/>
      <c r="C47" s="293"/>
      <c r="D47" s="293"/>
      <c r="E47" s="293"/>
      <c r="F47" s="294"/>
      <c r="G47" s="294"/>
      <c r="H47" s="294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</row>
    <row r="48" spans="1:24" x14ac:dyDescent="0.2">
      <c r="A48" s="293"/>
      <c r="B48" s="293"/>
      <c r="C48" s="293"/>
      <c r="D48" s="293"/>
      <c r="E48" s="293"/>
      <c r="F48" s="294"/>
      <c r="G48" s="294"/>
      <c r="H48" s="294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1:24" x14ac:dyDescent="0.2">
      <c r="A49" s="293"/>
      <c r="B49" s="293"/>
      <c r="C49" s="293"/>
      <c r="D49" s="293"/>
      <c r="E49" s="293"/>
      <c r="F49" s="294"/>
      <c r="G49" s="294"/>
      <c r="H49" s="294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4" x14ac:dyDescent="0.2">
      <c r="A50" s="293"/>
      <c r="B50" s="293"/>
      <c r="C50" s="293"/>
      <c r="D50" s="293"/>
      <c r="E50" s="293"/>
      <c r="F50" s="294"/>
      <c r="G50" s="294"/>
      <c r="H50" s="294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</row>
    <row r="51" spans="1:24" x14ac:dyDescent="0.2">
      <c r="A51" s="293"/>
      <c r="B51" s="293"/>
      <c r="C51" s="293"/>
      <c r="D51" s="293"/>
      <c r="E51" s="293"/>
      <c r="F51" s="294"/>
      <c r="G51" s="294"/>
      <c r="H51" s="294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x14ac:dyDescent="0.2">
      <c r="A52" s="293"/>
      <c r="B52" s="293"/>
      <c r="C52" s="293"/>
      <c r="D52" s="293"/>
      <c r="E52" s="293"/>
      <c r="F52" s="294"/>
      <c r="G52" s="294"/>
      <c r="H52" s="294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x14ac:dyDescent="0.2">
      <c r="A53" s="293"/>
      <c r="B53" s="293"/>
      <c r="C53" s="293"/>
      <c r="D53" s="293"/>
      <c r="E53" s="293"/>
      <c r="F53" s="294"/>
      <c r="G53" s="294"/>
      <c r="H53" s="294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x14ac:dyDescent="0.2">
      <c r="A54" s="293"/>
      <c r="B54" s="293"/>
      <c r="C54" s="293"/>
      <c r="D54" s="293"/>
      <c r="E54" s="293"/>
      <c r="F54" s="294"/>
      <c r="G54" s="294"/>
      <c r="H54" s="294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x14ac:dyDescent="0.2">
      <c r="A55" s="293"/>
      <c r="B55" s="293"/>
      <c r="C55" s="293"/>
      <c r="D55" s="293"/>
      <c r="E55" s="293"/>
      <c r="F55" s="294"/>
      <c r="G55" s="294"/>
      <c r="H55" s="294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x14ac:dyDescent="0.2">
      <c r="A56" s="293"/>
      <c r="B56" s="293"/>
      <c r="C56" s="293"/>
      <c r="D56" s="293"/>
      <c r="E56" s="293"/>
      <c r="F56" s="294"/>
      <c r="G56" s="294"/>
      <c r="H56" s="294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x14ac:dyDescent="0.2">
      <c r="A57" s="293"/>
      <c r="B57" s="293"/>
      <c r="C57" s="293"/>
      <c r="D57" s="293"/>
      <c r="E57" s="293"/>
      <c r="F57" s="294"/>
      <c r="G57" s="294"/>
      <c r="H57" s="294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3"/>
      <c r="B58" s="293"/>
      <c r="C58" s="293"/>
      <c r="D58" s="293"/>
      <c r="E58" s="293"/>
      <c r="F58" s="294"/>
      <c r="G58" s="294"/>
      <c r="H58" s="294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x14ac:dyDescent="0.2">
      <c r="A59" s="293"/>
      <c r="B59" s="293"/>
      <c r="C59" s="293"/>
      <c r="D59" s="293"/>
      <c r="E59" s="293"/>
      <c r="F59" s="294"/>
      <c r="G59" s="294"/>
      <c r="H59" s="294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x14ac:dyDescent="0.2">
      <c r="A60" s="293"/>
      <c r="B60" s="293"/>
      <c r="C60" s="293"/>
      <c r="D60" s="293"/>
      <c r="E60" s="293"/>
      <c r="F60" s="294"/>
      <c r="G60" s="294"/>
      <c r="H60" s="294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x14ac:dyDescent="0.2">
      <c r="A61" s="293"/>
      <c r="B61" s="293"/>
      <c r="C61" s="293"/>
      <c r="D61" s="293"/>
      <c r="E61" s="293"/>
      <c r="F61" s="294"/>
      <c r="G61" s="294"/>
      <c r="H61" s="294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x14ac:dyDescent="0.2">
      <c r="A62" s="293"/>
      <c r="B62" s="293"/>
      <c r="C62" s="293"/>
      <c r="D62" s="293"/>
      <c r="E62" s="293"/>
      <c r="F62" s="294"/>
      <c r="G62" s="294"/>
      <c r="H62" s="294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x14ac:dyDescent="0.2">
      <c r="A63" s="293"/>
      <c r="B63" s="293"/>
      <c r="C63" s="293"/>
      <c r="D63" s="293"/>
      <c r="E63" s="293"/>
      <c r="F63" s="294"/>
      <c r="G63" s="294"/>
      <c r="H63" s="294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x14ac:dyDescent="0.2">
      <c r="A64" s="293"/>
      <c r="B64" s="293"/>
      <c r="C64" s="293"/>
      <c r="D64" s="293"/>
      <c r="E64" s="293"/>
      <c r="F64" s="294"/>
      <c r="G64" s="294"/>
      <c r="H64" s="294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x14ac:dyDescent="0.2">
      <c r="A65" s="293"/>
      <c r="B65" s="293"/>
      <c r="C65" s="293"/>
      <c r="D65" s="293"/>
      <c r="E65" s="293"/>
      <c r="F65" s="294"/>
      <c r="G65" s="294"/>
      <c r="H65" s="294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x14ac:dyDescent="0.2">
      <c r="A66" s="293"/>
      <c r="B66" s="293"/>
      <c r="C66" s="293"/>
      <c r="D66" s="293"/>
      <c r="E66" s="293"/>
      <c r="F66" s="294"/>
      <c r="G66" s="294"/>
      <c r="H66" s="294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x14ac:dyDescent="0.2">
      <c r="A67" s="293"/>
      <c r="B67" s="293"/>
      <c r="C67" s="293"/>
      <c r="D67" s="293"/>
      <c r="E67" s="293"/>
      <c r="F67" s="294"/>
      <c r="G67" s="294"/>
      <c r="H67" s="294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x14ac:dyDescent="0.2">
      <c r="A68" s="293"/>
      <c r="B68" s="293"/>
      <c r="C68" s="293"/>
      <c r="D68" s="293"/>
      <c r="E68" s="293"/>
      <c r="F68" s="294"/>
      <c r="G68" s="294"/>
      <c r="H68" s="294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x14ac:dyDescent="0.2">
      <c r="A69" s="293"/>
      <c r="B69" s="293"/>
      <c r="C69" s="293"/>
      <c r="D69" s="293"/>
      <c r="E69" s="293"/>
      <c r="F69" s="294"/>
      <c r="G69" s="294"/>
      <c r="H69" s="294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x14ac:dyDescent="0.2">
      <c r="A70" s="293"/>
      <c r="B70" s="293"/>
      <c r="C70" s="293"/>
      <c r="D70" s="293"/>
      <c r="E70" s="293"/>
      <c r="F70" s="294"/>
      <c r="G70" s="294"/>
      <c r="H70" s="294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x14ac:dyDescent="0.2">
      <c r="A71" s="293"/>
      <c r="B71" s="293"/>
      <c r="C71" s="293"/>
      <c r="D71" s="293"/>
      <c r="E71" s="293"/>
      <c r="F71" s="294"/>
      <c r="G71" s="294"/>
      <c r="H71" s="294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x14ac:dyDescent="0.2">
      <c r="A72" s="293"/>
      <c r="B72" s="293"/>
      <c r="C72" s="293"/>
      <c r="D72" s="293"/>
      <c r="E72" s="293"/>
      <c r="F72" s="294"/>
      <c r="G72" s="294"/>
      <c r="H72" s="294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x14ac:dyDescent="0.2">
      <c r="A73" s="293"/>
      <c r="B73" s="293"/>
      <c r="C73" s="293"/>
      <c r="D73" s="293"/>
      <c r="E73" s="293"/>
      <c r="F73" s="294"/>
      <c r="G73" s="294"/>
      <c r="H73" s="294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x14ac:dyDescent="0.2">
      <c r="A74" s="293"/>
      <c r="B74" s="293"/>
      <c r="C74" s="293"/>
      <c r="D74" s="293"/>
      <c r="E74" s="293"/>
      <c r="F74" s="294"/>
      <c r="G74" s="294"/>
      <c r="H74" s="294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x14ac:dyDescent="0.2">
      <c r="A75" s="293"/>
      <c r="B75" s="293"/>
      <c r="C75" s="293"/>
      <c r="D75" s="293"/>
      <c r="E75" s="293"/>
      <c r="F75" s="294"/>
      <c r="G75" s="294"/>
      <c r="H75" s="294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x14ac:dyDescent="0.2">
      <c r="A76" s="293"/>
      <c r="B76" s="293"/>
      <c r="C76" s="293"/>
      <c r="D76" s="293"/>
      <c r="E76" s="293"/>
      <c r="F76" s="294"/>
      <c r="G76" s="294"/>
      <c r="H76" s="294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x14ac:dyDescent="0.2">
      <c r="A77" s="293"/>
      <c r="B77" s="293"/>
      <c r="C77" s="293"/>
      <c r="D77" s="293"/>
      <c r="E77" s="293"/>
      <c r="F77" s="294"/>
      <c r="G77" s="294"/>
      <c r="H77" s="294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x14ac:dyDescent="0.2">
      <c r="A78" s="293"/>
      <c r="B78" s="293"/>
      <c r="C78" s="293"/>
      <c r="D78" s="293"/>
      <c r="E78" s="293"/>
      <c r="F78" s="294"/>
      <c r="G78" s="294"/>
      <c r="H78" s="294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x14ac:dyDescent="0.2">
      <c r="A79" s="293"/>
      <c r="B79" s="293"/>
      <c r="C79" s="293"/>
      <c r="D79" s="293"/>
      <c r="E79" s="293"/>
      <c r="F79" s="294"/>
      <c r="G79" s="294"/>
      <c r="H79" s="294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x14ac:dyDescent="0.2">
      <c r="A80" s="293"/>
      <c r="B80" s="293"/>
      <c r="C80" s="293"/>
      <c r="D80" s="293"/>
      <c r="E80" s="293"/>
      <c r="F80" s="294"/>
      <c r="G80" s="294"/>
      <c r="H80" s="294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x14ac:dyDescent="0.2">
      <c r="A81" s="293"/>
      <c r="B81" s="293"/>
      <c r="C81" s="293"/>
      <c r="D81" s="293"/>
      <c r="E81" s="293"/>
      <c r="F81" s="294"/>
      <c r="G81" s="294"/>
      <c r="H81" s="294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x14ac:dyDescent="0.2">
      <c r="A82" s="293"/>
      <c r="B82" s="293"/>
      <c r="C82" s="293"/>
      <c r="D82" s="293"/>
      <c r="E82" s="293"/>
      <c r="F82" s="294"/>
      <c r="G82" s="294"/>
      <c r="H82" s="294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3"/>
      <c r="B83" s="293"/>
      <c r="C83" s="293"/>
      <c r="D83" s="293"/>
      <c r="E83" s="293"/>
      <c r="F83" s="294"/>
      <c r="G83" s="294"/>
      <c r="H83" s="294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3"/>
      <c r="B84" s="293"/>
      <c r="C84" s="293"/>
      <c r="D84" s="293"/>
      <c r="E84" s="293"/>
      <c r="F84" s="294"/>
      <c r="G84" s="294"/>
      <c r="H84" s="294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3"/>
      <c r="B85" s="293"/>
      <c r="C85" s="293"/>
      <c r="D85" s="293"/>
      <c r="E85" s="293"/>
      <c r="F85" s="294"/>
      <c r="G85" s="294"/>
      <c r="H85" s="294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x14ac:dyDescent="0.2">
      <c r="A86" s="293"/>
      <c r="B86" s="293"/>
      <c r="C86" s="293"/>
      <c r="D86" s="293"/>
      <c r="E86" s="293"/>
      <c r="F86" s="294"/>
      <c r="G86" s="294"/>
      <c r="H86" s="294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x14ac:dyDescent="0.2">
      <c r="A87" s="293"/>
      <c r="B87" s="293"/>
      <c r="C87" s="293"/>
      <c r="D87" s="293"/>
      <c r="E87" s="293"/>
      <c r="F87" s="294"/>
      <c r="G87" s="294"/>
      <c r="H87" s="294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x14ac:dyDescent="0.2">
      <c r="A88" s="293"/>
      <c r="B88" s="293"/>
      <c r="C88" s="293"/>
      <c r="D88" s="293"/>
      <c r="E88" s="293"/>
      <c r="F88" s="294"/>
      <c r="G88" s="294"/>
      <c r="H88" s="294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x14ac:dyDescent="0.2">
      <c r="A89" s="293"/>
      <c r="B89" s="293"/>
      <c r="C89" s="293"/>
      <c r="D89" s="293"/>
      <c r="E89" s="293"/>
      <c r="F89" s="294"/>
      <c r="G89" s="294"/>
      <c r="H89" s="294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x14ac:dyDescent="0.2">
      <c r="A90" s="293"/>
      <c r="B90" s="293"/>
      <c r="C90" s="293"/>
      <c r="D90" s="293"/>
      <c r="E90" s="293"/>
      <c r="F90" s="294"/>
      <c r="G90" s="294"/>
      <c r="H90" s="294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x14ac:dyDescent="0.2">
      <c r="A91" s="293"/>
      <c r="B91" s="293"/>
      <c r="C91" s="293"/>
      <c r="D91" s="293"/>
      <c r="E91" s="293"/>
      <c r="F91" s="294"/>
      <c r="G91" s="294"/>
      <c r="H91" s="294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x14ac:dyDescent="0.2">
      <c r="A92" s="293"/>
      <c r="B92" s="293"/>
      <c r="C92" s="293"/>
      <c r="D92" s="293"/>
      <c r="E92" s="293"/>
      <c r="F92" s="294"/>
      <c r="G92" s="294"/>
      <c r="H92" s="294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x14ac:dyDescent="0.2">
      <c r="A93" s="293"/>
      <c r="B93" s="293"/>
      <c r="C93" s="293"/>
      <c r="D93" s="293"/>
      <c r="E93" s="293"/>
      <c r="F93" s="294"/>
      <c r="G93" s="294"/>
      <c r="H93" s="294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x14ac:dyDescent="0.2">
      <c r="A94" s="293"/>
      <c r="B94" s="293"/>
      <c r="C94" s="293"/>
      <c r="D94" s="293"/>
      <c r="E94" s="293"/>
      <c r="F94" s="294"/>
      <c r="G94" s="294"/>
      <c r="H94" s="294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x14ac:dyDescent="0.2">
      <c r="A95" s="293"/>
      <c r="B95" s="293"/>
      <c r="C95" s="293"/>
      <c r="D95" s="293"/>
      <c r="E95" s="293"/>
      <c r="F95" s="294"/>
      <c r="G95" s="294"/>
      <c r="H95" s="294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x14ac:dyDescent="0.2">
      <c r="A96" s="293"/>
      <c r="B96" s="293"/>
      <c r="C96" s="293"/>
      <c r="D96" s="293"/>
      <c r="E96" s="293"/>
      <c r="F96" s="294"/>
      <c r="G96" s="294"/>
      <c r="H96" s="294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x14ac:dyDescent="0.2">
      <c r="A97" s="293"/>
      <c r="B97" s="293"/>
      <c r="C97" s="293"/>
      <c r="D97" s="293"/>
      <c r="E97" s="293"/>
      <c r="F97" s="294"/>
      <c r="G97" s="294"/>
      <c r="H97" s="294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x14ac:dyDescent="0.2">
      <c r="A98" s="293"/>
      <c r="B98" s="293"/>
      <c r="C98" s="293"/>
      <c r="D98" s="293"/>
      <c r="E98" s="293"/>
      <c r="F98" s="294"/>
      <c r="G98" s="294"/>
      <c r="H98" s="294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x14ac:dyDescent="0.2">
      <c r="A99" s="293"/>
      <c r="B99" s="293"/>
      <c r="C99" s="293"/>
      <c r="D99" s="293"/>
      <c r="E99" s="293"/>
      <c r="F99" s="294"/>
      <c r="G99" s="294"/>
      <c r="H99" s="294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x14ac:dyDescent="0.2">
      <c r="A100" s="293"/>
      <c r="B100" s="293"/>
      <c r="C100" s="293"/>
      <c r="D100" s="293"/>
      <c r="E100" s="293"/>
      <c r="F100" s="294"/>
      <c r="G100" s="294"/>
      <c r="H100" s="294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x14ac:dyDescent="0.2">
      <c r="A101" s="293"/>
      <c r="B101" s="293"/>
      <c r="C101" s="293"/>
      <c r="D101" s="293"/>
      <c r="E101" s="293"/>
      <c r="F101" s="294"/>
      <c r="G101" s="294"/>
      <c r="H101" s="294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</row>
    <row r="102" spans="1:24" x14ac:dyDescent="0.2">
      <c r="A102" s="293"/>
      <c r="B102" s="293"/>
      <c r="C102" s="293"/>
      <c r="D102" s="293"/>
      <c r="E102" s="293"/>
      <c r="F102" s="294"/>
      <c r="G102" s="294"/>
      <c r="H102" s="294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x14ac:dyDescent="0.2">
      <c r="A103" s="293"/>
      <c r="B103" s="293"/>
      <c r="C103" s="293"/>
      <c r="D103" s="293"/>
      <c r="E103" s="293"/>
      <c r="F103" s="294"/>
      <c r="G103" s="294"/>
      <c r="H103" s="294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x14ac:dyDescent="0.2">
      <c r="A104" s="293"/>
      <c r="B104" s="293"/>
      <c r="C104" s="293"/>
      <c r="D104" s="293"/>
      <c r="E104" s="293"/>
      <c r="F104" s="294"/>
      <c r="G104" s="294"/>
      <c r="H104" s="294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x14ac:dyDescent="0.2">
      <c r="A105" s="293"/>
      <c r="B105" s="293"/>
      <c r="C105" s="293"/>
      <c r="D105" s="293"/>
      <c r="E105" s="293"/>
      <c r="F105" s="294"/>
      <c r="G105" s="294"/>
      <c r="H105" s="294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x14ac:dyDescent="0.2">
      <c r="A106" s="293"/>
      <c r="B106" s="293"/>
      <c r="C106" s="293"/>
      <c r="D106" s="293"/>
      <c r="E106" s="293"/>
      <c r="F106" s="294"/>
      <c r="G106" s="294"/>
      <c r="H106" s="294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x14ac:dyDescent="0.2">
      <c r="A107" s="293"/>
      <c r="B107" s="293"/>
      <c r="C107" s="293"/>
      <c r="D107" s="293"/>
      <c r="E107" s="293"/>
      <c r="F107" s="294"/>
      <c r="G107" s="294"/>
      <c r="H107" s="294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x14ac:dyDescent="0.2">
      <c r="A108" s="293"/>
      <c r="B108" s="293"/>
      <c r="C108" s="293"/>
      <c r="D108" s="293"/>
      <c r="E108" s="293"/>
      <c r="F108" s="294"/>
      <c r="G108" s="294"/>
      <c r="H108" s="294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x14ac:dyDescent="0.2">
      <c r="A109" s="293"/>
      <c r="B109" s="293"/>
      <c r="C109" s="293"/>
      <c r="D109" s="293"/>
      <c r="E109" s="293"/>
      <c r="F109" s="294"/>
      <c r="G109" s="294"/>
      <c r="H109" s="294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x14ac:dyDescent="0.2">
      <c r="A110" s="293"/>
      <c r="B110" s="293"/>
      <c r="C110" s="293"/>
      <c r="D110" s="293"/>
      <c r="E110" s="293"/>
      <c r="F110" s="294"/>
      <c r="G110" s="294"/>
      <c r="H110" s="294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x14ac:dyDescent="0.2">
      <c r="A111" s="293"/>
      <c r="B111" s="293"/>
      <c r="C111" s="293"/>
      <c r="D111" s="293"/>
      <c r="E111" s="293"/>
      <c r="F111" s="294"/>
      <c r="G111" s="294"/>
      <c r="H111" s="294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x14ac:dyDescent="0.2">
      <c r="A112" s="293"/>
      <c r="B112" s="293"/>
      <c r="C112" s="293"/>
      <c r="D112" s="293"/>
      <c r="E112" s="293"/>
      <c r="F112" s="294"/>
      <c r="G112" s="294"/>
      <c r="H112" s="294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x14ac:dyDescent="0.2">
      <c r="A113" s="293"/>
      <c r="B113" s="293"/>
      <c r="C113" s="293"/>
      <c r="D113" s="293"/>
      <c r="E113" s="293"/>
      <c r="F113" s="294"/>
      <c r="G113" s="294"/>
      <c r="H113" s="294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x14ac:dyDescent="0.2">
      <c r="A114" s="293"/>
      <c r="B114" s="293"/>
      <c r="C114" s="293"/>
      <c r="D114" s="293"/>
      <c r="E114" s="293"/>
      <c r="F114" s="294"/>
      <c r="G114" s="294"/>
      <c r="H114" s="294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</row>
    <row r="115" spans="1:24" x14ac:dyDescent="0.2">
      <c r="A115" s="293"/>
      <c r="B115" s="293"/>
      <c r="C115" s="293"/>
      <c r="D115" s="293"/>
      <c r="E115" s="293"/>
      <c r="F115" s="294"/>
      <c r="G115" s="294"/>
      <c r="H115" s="294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x14ac:dyDescent="0.2">
      <c r="A116" s="293"/>
      <c r="B116" s="293"/>
      <c r="C116" s="293"/>
      <c r="D116" s="293"/>
      <c r="E116" s="293"/>
      <c r="F116" s="294"/>
      <c r="G116" s="294"/>
      <c r="H116" s="294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</row>
    <row r="117" spans="1:24" x14ac:dyDescent="0.2">
      <c r="A117" s="293"/>
      <c r="B117" s="293"/>
      <c r="C117" s="293"/>
      <c r="D117" s="293"/>
      <c r="E117" s="293"/>
      <c r="F117" s="294"/>
      <c r="G117" s="294"/>
      <c r="H117" s="294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</row>
    <row r="118" spans="1:24" x14ac:dyDescent="0.2">
      <c r="A118" s="293"/>
      <c r="B118" s="293"/>
      <c r="C118" s="293"/>
      <c r="D118" s="293"/>
      <c r="E118" s="293"/>
      <c r="F118" s="294"/>
      <c r="G118" s="294"/>
      <c r="H118" s="294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x14ac:dyDescent="0.2">
      <c r="A119" s="293"/>
      <c r="B119" s="293"/>
      <c r="C119" s="293"/>
      <c r="D119" s="293"/>
      <c r="E119" s="293"/>
      <c r="F119" s="294"/>
      <c r="G119" s="294"/>
      <c r="H119" s="294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</row>
    <row r="120" spans="1:24" x14ac:dyDescent="0.2">
      <c r="A120" s="293"/>
      <c r="B120" s="293"/>
      <c r="C120" s="293"/>
      <c r="D120" s="293"/>
      <c r="E120" s="293"/>
      <c r="F120" s="294"/>
      <c r="G120" s="294"/>
      <c r="H120" s="294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x14ac:dyDescent="0.2">
      <c r="A121" s="293"/>
      <c r="B121" s="293"/>
      <c r="C121" s="293"/>
      <c r="D121" s="293"/>
      <c r="E121" s="293"/>
      <c r="F121" s="294"/>
      <c r="G121" s="294"/>
      <c r="H121" s="294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</row>
    <row r="122" spans="1:24" x14ac:dyDescent="0.2">
      <c r="A122" s="293"/>
      <c r="B122" s="293"/>
      <c r="C122" s="293"/>
      <c r="D122" s="293"/>
      <c r="E122" s="293"/>
      <c r="F122" s="294"/>
      <c r="G122" s="294"/>
      <c r="H122" s="294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</row>
    <row r="123" spans="1:24" x14ac:dyDescent="0.2">
      <c r="A123" s="293"/>
      <c r="B123" s="293"/>
      <c r="C123" s="293"/>
      <c r="D123" s="293"/>
      <c r="E123" s="293"/>
      <c r="F123" s="294"/>
      <c r="G123" s="294"/>
      <c r="H123" s="294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x14ac:dyDescent="0.2">
      <c r="A124" s="293"/>
      <c r="B124" s="293"/>
      <c r="C124" s="293"/>
      <c r="D124" s="293"/>
      <c r="E124" s="293"/>
      <c r="F124" s="294"/>
      <c r="G124" s="294"/>
      <c r="H124" s="294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x14ac:dyDescent="0.2">
      <c r="A125" s="293"/>
      <c r="B125" s="293"/>
      <c r="C125" s="293"/>
      <c r="D125" s="293"/>
      <c r="E125" s="293"/>
      <c r="F125" s="294"/>
      <c r="G125" s="294"/>
      <c r="H125" s="294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x14ac:dyDescent="0.2">
      <c r="A126" s="293"/>
      <c r="B126" s="293"/>
      <c r="C126" s="293"/>
      <c r="D126" s="293"/>
      <c r="E126" s="293"/>
      <c r="F126" s="294"/>
      <c r="G126" s="294"/>
      <c r="H126" s="294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x14ac:dyDescent="0.2">
      <c r="A127" s="293"/>
      <c r="B127" s="293"/>
      <c r="C127" s="293"/>
      <c r="D127" s="293"/>
      <c r="E127" s="293"/>
      <c r="F127" s="294"/>
      <c r="G127" s="294"/>
      <c r="H127" s="294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x14ac:dyDescent="0.2">
      <c r="A128" s="293"/>
      <c r="B128" s="293"/>
      <c r="C128" s="293"/>
      <c r="D128" s="293"/>
      <c r="E128" s="293"/>
      <c r="F128" s="294"/>
      <c r="G128" s="294"/>
      <c r="H128" s="294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x14ac:dyDescent="0.2">
      <c r="A129" s="293"/>
      <c r="B129" s="293"/>
      <c r="C129" s="293"/>
      <c r="D129" s="293"/>
      <c r="E129" s="293"/>
      <c r="F129" s="294"/>
      <c r="G129" s="294"/>
      <c r="H129" s="294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x14ac:dyDescent="0.2">
      <c r="A130" s="293"/>
      <c r="B130" s="293"/>
      <c r="C130" s="293"/>
      <c r="D130" s="293"/>
      <c r="E130" s="293"/>
      <c r="F130" s="294"/>
      <c r="G130" s="294"/>
      <c r="H130" s="294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x14ac:dyDescent="0.2">
      <c r="A131" s="293"/>
      <c r="B131" s="293"/>
      <c r="C131" s="293"/>
      <c r="D131" s="293"/>
      <c r="E131" s="293"/>
      <c r="F131" s="294"/>
      <c r="G131" s="294"/>
      <c r="H131" s="294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x14ac:dyDescent="0.2">
      <c r="A132" s="293"/>
      <c r="B132" s="293"/>
      <c r="C132" s="293"/>
      <c r="D132" s="293"/>
      <c r="E132" s="293"/>
      <c r="F132" s="294"/>
      <c r="G132" s="294"/>
      <c r="H132" s="294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x14ac:dyDescent="0.2">
      <c r="A133" s="293"/>
      <c r="B133" s="293"/>
      <c r="C133" s="293"/>
      <c r="D133" s="293"/>
      <c r="E133" s="293"/>
      <c r="F133" s="294"/>
      <c r="G133" s="294"/>
      <c r="H133" s="294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x14ac:dyDescent="0.2">
      <c r="A134" s="293"/>
      <c r="B134" s="293"/>
      <c r="C134" s="293"/>
      <c r="D134" s="293"/>
      <c r="E134" s="293"/>
      <c r="F134" s="294"/>
      <c r="G134" s="294"/>
      <c r="H134" s="294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</row>
    <row r="135" spans="1:24" x14ac:dyDescent="0.2">
      <c r="A135" s="293"/>
      <c r="B135" s="293"/>
      <c r="C135" s="293"/>
      <c r="D135" s="293"/>
      <c r="E135" s="293"/>
      <c r="F135" s="294"/>
      <c r="G135" s="294"/>
      <c r="H135" s="294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x14ac:dyDescent="0.2">
      <c r="A136" s="293"/>
      <c r="B136" s="293"/>
      <c r="C136" s="293"/>
      <c r="D136" s="293"/>
      <c r="E136" s="293"/>
      <c r="F136" s="294"/>
      <c r="G136" s="294"/>
      <c r="H136" s="294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x14ac:dyDescent="0.2">
      <c r="A137" s="293"/>
      <c r="B137" s="293"/>
      <c r="C137" s="293"/>
      <c r="D137" s="293"/>
      <c r="E137" s="293"/>
      <c r="F137" s="294"/>
      <c r="G137" s="294"/>
      <c r="H137" s="294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x14ac:dyDescent="0.2">
      <c r="A138" s="293"/>
      <c r="B138" s="293"/>
      <c r="C138" s="293"/>
      <c r="D138" s="293"/>
      <c r="E138" s="293"/>
      <c r="F138" s="294"/>
      <c r="G138" s="294"/>
      <c r="H138" s="294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x14ac:dyDescent="0.2">
      <c r="A139" s="293"/>
      <c r="B139" s="293"/>
      <c r="C139" s="293"/>
      <c r="D139" s="293"/>
      <c r="E139" s="293"/>
      <c r="F139" s="294"/>
      <c r="G139" s="294"/>
      <c r="H139" s="294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x14ac:dyDescent="0.2">
      <c r="A140" s="293"/>
      <c r="B140" s="293"/>
      <c r="C140" s="293"/>
      <c r="D140" s="293"/>
      <c r="E140" s="293"/>
      <c r="F140" s="294"/>
      <c r="G140" s="294"/>
      <c r="H140" s="294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x14ac:dyDescent="0.2">
      <c r="A141" s="293"/>
      <c r="B141" s="293"/>
      <c r="C141" s="293"/>
      <c r="D141" s="293"/>
      <c r="E141" s="293"/>
      <c r="F141" s="294"/>
      <c r="G141" s="294"/>
      <c r="H141" s="294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x14ac:dyDescent="0.2">
      <c r="A142" s="293"/>
      <c r="B142" s="293"/>
      <c r="C142" s="293"/>
      <c r="D142" s="293"/>
      <c r="E142" s="293"/>
      <c r="F142" s="294"/>
      <c r="G142" s="294"/>
      <c r="H142" s="294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x14ac:dyDescent="0.2">
      <c r="A143" s="293"/>
      <c r="B143" s="293"/>
      <c r="C143" s="293"/>
      <c r="D143" s="293"/>
      <c r="E143" s="293"/>
      <c r="F143" s="294"/>
      <c r="G143" s="294"/>
      <c r="H143" s="294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:24" x14ac:dyDescent="0.2">
      <c r="A144" s="293"/>
      <c r="B144" s="293"/>
      <c r="C144" s="293"/>
      <c r="D144" s="293"/>
      <c r="E144" s="293"/>
      <c r="F144" s="294"/>
      <c r="G144" s="294"/>
      <c r="H144" s="294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</row>
    <row r="145" spans="1:24" x14ac:dyDescent="0.2">
      <c r="A145" s="293"/>
      <c r="B145" s="293"/>
      <c r="C145" s="293"/>
      <c r="D145" s="293"/>
      <c r="E145" s="293"/>
      <c r="F145" s="294"/>
      <c r="G145" s="294"/>
      <c r="H145" s="294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</row>
    <row r="146" spans="1:24" x14ac:dyDescent="0.2">
      <c r="A146" s="293"/>
      <c r="B146" s="293"/>
      <c r="C146" s="293"/>
      <c r="D146" s="293"/>
      <c r="E146" s="293"/>
      <c r="F146" s="294"/>
      <c r="G146" s="294"/>
      <c r="H146" s="294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</row>
    <row r="147" spans="1:24" x14ac:dyDescent="0.2">
      <c r="A147" s="293"/>
      <c r="B147" s="293"/>
      <c r="C147" s="293"/>
      <c r="D147" s="293"/>
      <c r="E147" s="293"/>
      <c r="F147" s="294"/>
      <c r="G147" s="294"/>
      <c r="H147" s="294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</row>
    <row r="148" spans="1:24" x14ac:dyDescent="0.2">
      <c r="A148" s="293"/>
      <c r="B148" s="293"/>
      <c r="C148" s="293"/>
      <c r="D148" s="293"/>
      <c r="E148" s="293"/>
      <c r="F148" s="294"/>
      <c r="G148" s="294"/>
      <c r="H148" s="294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</row>
    <row r="149" spans="1:24" x14ac:dyDescent="0.2">
      <c r="A149" s="293"/>
      <c r="B149" s="293"/>
      <c r="C149" s="293"/>
      <c r="D149" s="293"/>
      <c r="E149" s="293"/>
      <c r="F149" s="294"/>
      <c r="G149" s="294"/>
      <c r="H149" s="294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</row>
    <row r="150" spans="1:24" x14ac:dyDescent="0.2">
      <c r="A150" s="293"/>
      <c r="B150" s="293"/>
      <c r="C150" s="293"/>
      <c r="D150" s="293"/>
      <c r="E150" s="293"/>
      <c r="F150" s="294"/>
      <c r="G150" s="294"/>
      <c r="H150" s="294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</row>
    <row r="151" spans="1:24" x14ac:dyDescent="0.2">
      <c r="A151" s="293"/>
      <c r="B151" s="293"/>
      <c r="C151" s="293"/>
      <c r="D151" s="293"/>
      <c r="E151" s="293"/>
      <c r="F151" s="294"/>
      <c r="G151" s="294"/>
      <c r="H151" s="294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</row>
    <row r="152" spans="1:24" x14ac:dyDescent="0.2">
      <c r="A152" s="293"/>
      <c r="B152" s="293"/>
      <c r="C152" s="293"/>
      <c r="D152" s="293"/>
      <c r="E152" s="293"/>
      <c r="F152" s="294"/>
      <c r="G152" s="294"/>
      <c r="H152" s="294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</row>
    <row r="153" spans="1:24" x14ac:dyDescent="0.2">
      <c r="A153" s="293"/>
      <c r="B153" s="293"/>
      <c r="C153" s="293"/>
      <c r="D153" s="293"/>
      <c r="E153" s="293"/>
      <c r="F153" s="294"/>
      <c r="G153" s="294"/>
      <c r="H153" s="294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</row>
    <row r="154" spans="1:24" x14ac:dyDescent="0.2">
      <c r="A154" s="293"/>
      <c r="B154" s="293"/>
      <c r="C154" s="293"/>
      <c r="D154" s="293"/>
      <c r="E154" s="293"/>
      <c r="F154" s="294"/>
      <c r="G154" s="294"/>
      <c r="H154" s="294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</row>
    <row r="155" spans="1:24" x14ac:dyDescent="0.2">
      <c r="A155" s="293"/>
      <c r="B155" s="293"/>
      <c r="C155" s="293"/>
      <c r="D155" s="293"/>
      <c r="E155" s="293"/>
      <c r="F155" s="294"/>
      <c r="G155" s="294"/>
      <c r="H155" s="294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</row>
    <row r="156" spans="1:24" x14ac:dyDescent="0.2">
      <c r="A156" s="293"/>
      <c r="B156" s="293"/>
      <c r="C156" s="293"/>
      <c r="D156" s="293"/>
      <c r="E156" s="293"/>
      <c r="F156" s="294"/>
      <c r="G156" s="294"/>
      <c r="H156" s="294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</row>
    <row r="157" spans="1:24" x14ac:dyDescent="0.2">
      <c r="A157" s="293"/>
      <c r="B157" s="293"/>
      <c r="C157" s="293"/>
      <c r="D157" s="293"/>
      <c r="E157" s="293"/>
      <c r="F157" s="294"/>
      <c r="G157" s="294"/>
      <c r="H157" s="294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</row>
    <row r="158" spans="1:24" x14ac:dyDescent="0.2">
      <c r="A158" s="293"/>
      <c r="B158" s="293"/>
      <c r="C158" s="293"/>
      <c r="D158" s="293"/>
      <c r="E158" s="293"/>
      <c r="F158" s="294"/>
      <c r="G158" s="294"/>
      <c r="H158" s="294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</row>
    <row r="159" spans="1:24" x14ac:dyDescent="0.2">
      <c r="A159" s="293"/>
      <c r="B159" s="293"/>
      <c r="C159" s="293"/>
      <c r="D159" s="293"/>
      <c r="E159" s="293"/>
      <c r="F159" s="294"/>
      <c r="G159" s="294"/>
      <c r="H159" s="294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</row>
    <row r="160" spans="1:24" x14ac:dyDescent="0.2">
      <c r="A160" s="293"/>
      <c r="B160" s="293"/>
      <c r="C160" s="293"/>
      <c r="D160" s="293"/>
      <c r="E160" s="293"/>
      <c r="F160" s="294"/>
      <c r="G160" s="294"/>
      <c r="H160" s="294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</row>
    <row r="161" spans="1:24" x14ac:dyDescent="0.2">
      <c r="A161" s="293"/>
      <c r="B161" s="293"/>
      <c r="C161" s="293"/>
      <c r="D161" s="293"/>
      <c r="E161" s="293"/>
      <c r="F161" s="294"/>
      <c r="G161" s="294"/>
      <c r="H161" s="294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</row>
    <row r="162" spans="1:24" x14ac:dyDescent="0.2">
      <c r="A162" s="293"/>
      <c r="B162" s="293"/>
      <c r="C162" s="293"/>
      <c r="D162" s="293"/>
      <c r="E162" s="293"/>
      <c r="F162" s="294"/>
      <c r="G162" s="294"/>
      <c r="H162" s="294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</row>
    <row r="163" spans="1:24" x14ac:dyDescent="0.2">
      <c r="A163" s="293"/>
      <c r="B163" s="293"/>
      <c r="C163" s="293"/>
      <c r="D163" s="293"/>
      <c r="E163" s="293"/>
      <c r="F163" s="294"/>
      <c r="G163" s="294"/>
      <c r="H163" s="294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</row>
    <row r="164" spans="1:24" x14ac:dyDescent="0.2">
      <c r="A164" s="293"/>
      <c r="B164" s="293"/>
      <c r="C164" s="293"/>
      <c r="D164" s="293"/>
      <c r="E164" s="293"/>
      <c r="F164" s="294"/>
      <c r="G164" s="294"/>
      <c r="H164" s="294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</row>
    <row r="165" spans="1:24" x14ac:dyDescent="0.2">
      <c r="A165" s="293"/>
      <c r="B165" s="293"/>
      <c r="C165" s="293"/>
      <c r="D165" s="293"/>
      <c r="E165" s="293"/>
      <c r="F165" s="294"/>
      <c r="G165" s="294"/>
      <c r="H165" s="294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</row>
    <row r="166" spans="1:24" x14ac:dyDescent="0.2">
      <c r="A166" s="293"/>
      <c r="B166" s="293"/>
      <c r="C166" s="293"/>
      <c r="D166" s="293"/>
      <c r="E166" s="293"/>
      <c r="F166" s="294"/>
      <c r="G166" s="294"/>
      <c r="H166" s="294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</row>
    <row r="167" spans="1:24" x14ac:dyDescent="0.2">
      <c r="A167" s="293"/>
      <c r="B167" s="293"/>
      <c r="C167" s="293"/>
      <c r="D167" s="293"/>
      <c r="E167" s="293"/>
      <c r="F167" s="294"/>
      <c r="G167" s="294"/>
      <c r="H167" s="294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</row>
    <row r="168" spans="1:24" x14ac:dyDescent="0.2">
      <c r="A168" s="293"/>
      <c r="B168" s="293"/>
      <c r="C168" s="293"/>
      <c r="D168" s="293"/>
      <c r="E168" s="293"/>
      <c r="F168" s="294"/>
      <c r="G168" s="294"/>
      <c r="H168" s="294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</row>
    <row r="169" spans="1:24" x14ac:dyDescent="0.2">
      <c r="A169" s="293"/>
      <c r="B169" s="293"/>
      <c r="C169" s="293"/>
      <c r="D169" s="293"/>
      <c r="E169" s="293"/>
      <c r="F169" s="294"/>
      <c r="G169" s="294"/>
      <c r="H169" s="294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</row>
    <row r="170" spans="1:24" x14ac:dyDescent="0.2">
      <c r="A170" s="293"/>
      <c r="B170" s="293"/>
      <c r="C170" s="293"/>
      <c r="D170" s="293"/>
      <c r="E170" s="293"/>
      <c r="F170" s="294"/>
      <c r="G170" s="294"/>
      <c r="H170" s="294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</row>
    <row r="171" spans="1:24" x14ac:dyDescent="0.2">
      <c r="A171" s="293"/>
      <c r="B171" s="293"/>
      <c r="C171" s="293"/>
      <c r="D171" s="293"/>
      <c r="E171" s="293"/>
      <c r="F171" s="294"/>
      <c r="G171" s="294"/>
      <c r="H171" s="294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</row>
    <row r="172" spans="1:24" x14ac:dyDescent="0.2">
      <c r="A172" s="293"/>
      <c r="B172" s="293"/>
      <c r="C172" s="293"/>
      <c r="D172" s="293"/>
      <c r="E172" s="293"/>
      <c r="F172" s="294"/>
      <c r="G172" s="294"/>
      <c r="H172" s="294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dataValidations count="1">
    <dataValidation type="list" allowBlank="1" showErrorMessage="1" sqref="N2:N5">
      <formula1>$C$1:$C$24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indexed="17"/>
  </sheetPr>
  <dimension ref="A1:X172"/>
  <sheetViews>
    <sheetView view="pageBreakPreview" topLeftCell="F1" zoomScale="50" zoomScaleSheetLayoutView="50" workbookViewId="0">
      <selection activeCell="A3" sqref="A3"/>
    </sheetView>
  </sheetViews>
  <sheetFormatPr defaultRowHeight="12.75" x14ac:dyDescent="0.2"/>
  <cols>
    <col min="1" max="6" width="9.42578125" customWidth="1"/>
    <col min="7" max="7" width="10.5703125" customWidth="1"/>
    <col min="8" max="8" width="14.85546875" customWidth="1"/>
    <col min="11" max="11" width="19.5703125" customWidth="1"/>
    <col min="14" max="14" width="26.7109375" customWidth="1"/>
    <col min="15" max="16" width="3" customWidth="1"/>
    <col min="17" max="17" width="2.85546875" customWidth="1"/>
    <col min="18" max="21" width="3" customWidth="1"/>
    <col min="22" max="22" width="10.5703125" customWidth="1"/>
    <col min="23" max="23" width="11.85546875" customWidth="1"/>
    <col min="24" max="24" width="12" customWidth="1"/>
    <col min="25" max="25" width="5.5703125" customWidth="1"/>
  </cols>
  <sheetData>
    <row r="1" spans="1:24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03"/>
      <c r="M1" s="403"/>
      <c r="N1" s="287"/>
      <c r="O1" s="288" t="s">
        <v>36</v>
      </c>
      <c r="P1" s="288" t="s">
        <v>11</v>
      </c>
      <c r="Q1" s="288" t="s">
        <v>12</v>
      </c>
      <c r="R1" s="288" t="s">
        <v>13</v>
      </c>
      <c r="S1" s="288" t="s">
        <v>1</v>
      </c>
      <c r="T1" s="288" t="s">
        <v>14</v>
      </c>
      <c r="U1" s="288" t="s">
        <v>10</v>
      </c>
      <c r="V1" s="288" t="s">
        <v>181</v>
      </c>
      <c r="W1" s="288" t="s">
        <v>182</v>
      </c>
      <c r="X1" s="288" t="s">
        <v>183</v>
      </c>
    </row>
    <row r="2" spans="1:24" x14ac:dyDescent="0.2">
      <c r="A2" s="289" t="s">
        <v>36</v>
      </c>
      <c r="B2" s="289" t="s">
        <v>184</v>
      </c>
      <c r="C2" s="289" t="s">
        <v>12</v>
      </c>
      <c r="D2" s="289" t="s">
        <v>185</v>
      </c>
      <c r="E2" s="289" t="s">
        <v>186</v>
      </c>
      <c r="F2" s="289" t="s">
        <v>187</v>
      </c>
      <c r="G2" s="289" t="s">
        <v>188</v>
      </c>
      <c r="H2" s="289" t="s">
        <v>189</v>
      </c>
      <c r="I2" s="287"/>
      <c r="J2" s="287"/>
      <c r="K2" s="290">
        <f>(((($U2*100+$V2)*100+$W2)*100+$X2)*100+$S2)*100+ROW($K$1)-ROW()</f>
        <v>-1</v>
      </c>
      <c r="L2" s="402">
        <f>RANK(K2,$K$2:$K$5)</f>
        <v>1</v>
      </c>
      <c r="M2" s="402"/>
      <c r="N2" t="s">
        <v>194</v>
      </c>
      <c r="O2" s="290">
        <f>SUMIF(GRUPE!$A$5:$A$29,$N2,$A$3:$A$374)+SUMIF(GRUPE!$E$5:$E$29,$N2,$A$3:$A$374)</f>
        <v>0</v>
      </c>
      <c r="P2" s="290">
        <f>SUMIF(GRUPE!$A$5:$A$29,$N2,$B$3:$B$374)+SUMIF(GRUPE!$E$5:$E$29,$N2,$D$3:$D$374)</f>
        <v>0</v>
      </c>
      <c r="Q2" s="290">
        <f>SUMIF(GRUPE!$A$5:$A$29,$N2,$C$3:$C$374)+SUMIF(GRUPE!$E$5:$E$29,$N2,$C$3:$C$374)</f>
        <v>0</v>
      </c>
      <c r="R2" s="290">
        <f>O2-P2-Q2</f>
        <v>0</v>
      </c>
      <c r="S2" s="290">
        <f>SUMIF(GRUPE!$A$5:$A$29,$N2,GRUPE!$B$5:$B$29)+SUMIF(GRUPE!$E$5:$E$29,$N2,GRUPE!$D$5:$D$29)</f>
        <v>0</v>
      </c>
      <c r="T2" s="290">
        <f>SUMIF(GRUPE!$A$5:$A$29,$N2,GRUPE!$D$5:$D$29)+SUMIF(GRUPE!$E$5:$E$29,$N2,GRUPE!$B$5:$B$29)</f>
        <v>0</v>
      </c>
      <c r="U2" s="292">
        <f>P2*3+Q2</f>
        <v>0</v>
      </c>
      <c r="V2" s="290">
        <f>SUMIF(GRUPE!$A$5:$A$29,$N2,$F$3:$F$374)-SUMIF(GRUPE!$E$5:$E$29,$N2,$F$3:$F$374)</f>
        <v>0</v>
      </c>
      <c r="W2" s="290">
        <f>SUMIF(GRUPE!$A$5:$A$29,$N2,$G$3:$G$374)-SUMIF(GRUPE!$E$5:$E$29,$N2,$G$3:$G$374)</f>
        <v>0</v>
      </c>
      <c r="X2" s="290">
        <f>S2-T2</f>
        <v>0</v>
      </c>
    </row>
    <row r="3" spans="1:24" x14ac:dyDescent="0.2">
      <c r="A3" s="293">
        <f>IF(OR(ISBLANK(GRUPE!$B5),ISBLANK(GRUPE!$D5)),0,1)</f>
        <v>1</v>
      </c>
      <c r="B3" s="293">
        <f>IF(AND($A3=1,GRUPE!$B5&gt;GRUPE!$D5),1,0)</f>
        <v>0</v>
      </c>
      <c r="C3" s="293">
        <f>IF(AND($A3=1,GRUPE!$B5=GRUPE!$D5),1,0)</f>
        <v>0</v>
      </c>
      <c r="D3" s="293">
        <f>IF(AND($A3=1,GRUPE!$B5&lt;GRUPE!$D5),1,0)</f>
        <v>1</v>
      </c>
      <c r="E3" s="293" t="e">
        <f>IF(VLOOKUP(GRUPE!$A5,$N$2:$U$19,8,FALSE)=VLOOKUP(GRUPE!$E5,$N$2:$U$19,8,FALSE),1,0)</f>
        <v>#REF!</v>
      </c>
      <c r="F3" s="294" t="e">
        <f t="shared" ref="F3:F11" si="0">IF($E3=1,2*$B3-2*$D3,0)</f>
        <v>#REF!</v>
      </c>
      <c r="G3" s="294" t="e">
        <f>IF($E3=1,GRUPE!$B5-GRUPE!$D5,0)</f>
        <v>#REF!</v>
      </c>
      <c r="H3" s="294" t="e">
        <f>IF($E3=1,GRUPE!$D5,0)</f>
        <v>#REF!</v>
      </c>
      <c r="I3" s="287"/>
      <c r="J3" s="287"/>
      <c r="K3" s="290">
        <f>(((($U3*100+$V3)*100+$W3)*100+$X3)*100+$S3)*100+ROW($K$1)-ROW()</f>
        <v>-2</v>
      </c>
      <c r="L3" s="402">
        <f>RANK(K3,$K$2:$K$5)</f>
        <v>2</v>
      </c>
      <c r="M3" s="402"/>
      <c r="N3" t="s">
        <v>195</v>
      </c>
      <c r="O3" s="290">
        <f>SUMIF(GRUPE!$A$5:$A$29,$N3,$A$3:$A$374)+SUMIF(GRUPE!$E$5:$E$29,$N3,$A$3:$A$374)</f>
        <v>0</v>
      </c>
      <c r="P3" s="290">
        <f>SUMIF(GRUPE!$A$5:$A$29,$N3,$B$3:$B$374)+SUMIF(GRUPE!$E$5:$E$29,$N3,$D$3:$D$374)</f>
        <v>0</v>
      </c>
      <c r="Q3" s="290">
        <f>SUMIF(GRUPE!$A$5:$A$29,$N3,$C$3:$C$374)+SUMIF(GRUPE!$E$5:$E$29,$N3,$C$3:$C$374)</f>
        <v>0</v>
      </c>
      <c r="R3" s="290">
        <f>O3-P3-Q3</f>
        <v>0</v>
      </c>
      <c r="S3" s="290">
        <f>SUMIF(GRUPE!$A$5:$A$29,$N3,GRUPE!$B$5:$B$29)+SUMIF(GRUPE!$E$5:$E$29,$N3,GRUPE!$D$5:$D$29)</f>
        <v>0</v>
      </c>
      <c r="T3" s="290">
        <f>SUMIF(GRUPE!$A$5:$A$29,$N3,GRUPE!$D$5:$D$29)+SUMIF(GRUPE!$E$5:$E$29,$N3,GRUPE!$B$5:$B$29)</f>
        <v>0</v>
      </c>
      <c r="U3" s="292">
        <f>P3*3+Q3</f>
        <v>0</v>
      </c>
      <c r="V3" s="290">
        <f>SUMIF(GRUPE!$A$5:$A$29,$N3,$F$3:$F$374)-SUMIF(GRUPE!$E$5:$E$29,$N3,$F$3:$F$374)</f>
        <v>0</v>
      </c>
      <c r="W3" s="290">
        <f>SUMIF(GRUPE!$A$5:$A$29,$N3,$G$3:$G$374)-SUMIF(GRUPE!$E$5:$E$29,$N3,$G$3:$G$374)</f>
        <v>0</v>
      </c>
      <c r="X3" s="290">
        <f>S3-T3</f>
        <v>0</v>
      </c>
    </row>
    <row r="4" spans="1:24" x14ac:dyDescent="0.2">
      <c r="A4" s="293">
        <f>IF(OR(ISBLANK(GRUPE!$B6),ISBLANK(GRUPE!$D6)),0,1)</f>
        <v>1</v>
      </c>
      <c r="B4" s="293">
        <f>IF(AND($A4=1,GRUPE!$B6&gt;GRUPE!$D6),1,0)</f>
        <v>1</v>
      </c>
      <c r="C4" s="293">
        <f>IF(AND($A4=1,GRUPE!$B6=GRUPE!$D6),1,0)</f>
        <v>0</v>
      </c>
      <c r="D4" s="293">
        <f>IF(AND($A4=1,GRUPE!$B6&lt;GRUPE!$D6),1,0)</f>
        <v>0</v>
      </c>
      <c r="E4" s="293" t="e">
        <f>IF(VLOOKUP(GRUPE!$A6,$N$2:$U$19,8,FALSE)=VLOOKUP(GRUPE!$E6,$N$2:$U$19,8,FALSE),1,0)</f>
        <v>#REF!</v>
      </c>
      <c r="F4" s="294" t="e">
        <f t="shared" si="0"/>
        <v>#REF!</v>
      </c>
      <c r="G4" s="294" t="e">
        <f>IF($E4=1,GRUPE!$B6-GRUPE!$D6,0)</f>
        <v>#REF!</v>
      </c>
      <c r="H4" s="294" t="e">
        <f>IF($E4=1,GRUPE!$D6,0)</f>
        <v>#REF!</v>
      </c>
      <c r="I4" s="287"/>
      <c r="J4" s="287"/>
      <c r="K4" s="290">
        <f>(((($U4*100+$V4)*100+$W4)*100+$X4)*100+$S4)*100+ROW($K$1)-ROW()</f>
        <v>-3</v>
      </c>
      <c r="L4" s="402">
        <f>RANK(K4,$K$2:$K$5)</f>
        <v>3</v>
      </c>
      <c r="M4" s="402"/>
      <c r="N4" t="s">
        <v>196</v>
      </c>
      <c r="O4" s="290">
        <f>SUMIF(GRUPE!$A$5:$A$29,$N4,$A$3:$A$374)+SUMIF(GRUPE!$E$5:$E$29,$N4,$A$3:$A$374)</f>
        <v>0</v>
      </c>
      <c r="P4" s="290">
        <f>SUMIF(GRUPE!$A$5:$A$29,$N4,$B$3:$B$374)+SUMIF(GRUPE!$E$5:$E$29,$N4,$D$3:$D$374)</f>
        <v>0</v>
      </c>
      <c r="Q4" s="290">
        <f>SUMIF(GRUPE!$A$5:$A$29,$N4,$C$3:$C$374)+SUMIF(GRUPE!$E$5:$E$29,$N4,$C$3:$C$374)</f>
        <v>0</v>
      </c>
      <c r="R4" s="290">
        <f>O4-P4-Q4</f>
        <v>0</v>
      </c>
      <c r="S4" s="290">
        <f>SUMIF(GRUPE!$A$5:$A$29,$N4,GRUPE!$B$5:$B$29)+SUMIF(GRUPE!$E$5:$E$29,$N4,GRUPE!$D$5:$D$29)</f>
        <v>0</v>
      </c>
      <c r="T4" s="290">
        <f>SUMIF(GRUPE!$A$5:$A$29,$N4,GRUPE!$D$5:$D$29)+SUMIF(GRUPE!$E$5:$E$29,$N4,GRUPE!$B$5:$B$29)</f>
        <v>0</v>
      </c>
      <c r="U4" s="292">
        <f>P4*3+Q4</f>
        <v>0</v>
      </c>
      <c r="V4" s="290">
        <f>SUMIF(GRUPE!$A$5:$A$29,$N4,$F$3:$F$374)-SUMIF(GRUPE!$E$5:$E$29,$N4,$F$3:$F$374)</f>
        <v>0</v>
      </c>
      <c r="W4" s="290">
        <f>SUMIF(GRUPE!$A$5:$A$29,$N4,$G$3:$G$374)-SUMIF(GRUPE!$E$5:$E$29,$N4,$G$3:$G$374)</f>
        <v>0</v>
      </c>
      <c r="X4" s="290">
        <f>S4-T4</f>
        <v>0</v>
      </c>
    </row>
    <row r="5" spans="1:24" ht="15.75" customHeight="1" x14ac:dyDescent="0.2">
      <c r="A5" s="293">
        <f>IF(OR(ISBLANK(GRUPE!$B7),ISBLANK(GRUPE!$D7)),0,1)</f>
        <v>0</v>
      </c>
      <c r="B5" s="293">
        <f>IF(AND($A5=1,GRUPE!$B7&gt;GRUPE!$D7),1,0)</f>
        <v>0</v>
      </c>
      <c r="C5" s="293">
        <f>IF(AND($A5=1,GRUPE!$B7=GRUPE!$D7),1,0)</f>
        <v>0</v>
      </c>
      <c r="D5" s="293">
        <f>IF(AND($A5=1,GRUPE!$B7&lt;GRUPE!$D7),1,0)</f>
        <v>0</v>
      </c>
      <c r="E5" s="293" t="e">
        <f>IF(VLOOKUP(GRUPE!$A7,$N$2:$U$19,8,FALSE)=VLOOKUP(GRUPE!$E7,$N$2:$U$19,8,FALSE),1,0)</f>
        <v>#N/A</v>
      </c>
      <c r="F5" s="294" t="e">
        <f t="shared" si="0"/>
        <v>#N/A</v>
      </c>
      <c r="G5" s="294" t="e">
        <f>IF($E5=1,GRUPE!$B7-GRUPE!$D7,0)</f>
        <v>#N/A</v>
      </c>
      <c r="H5" s="294" t="e">
        <f>IF($E5=1,GRUPE!$D7,0)</f>
        <v>#N/A</v>
      </c>
      <c r="I5" s="287"/>
      <c r="J5" s="287"/>
      <c r="K5" s="290">
        <f>(((($U5*100+$V5)*100+$W5)*100+$X5)*100+$S5)*100+ROW($K$1)-ROW()</f>
        <v>-4</v>
      </c>
      <c r="L5" s="402">
        <f>RANK(K5,$K$2:$K$5)</f>
        <v>4</v>
      </c>
      <c r="M5" s="402"/>
      <c r="N5" t="s">
        <v>197</v>
      </c>
      <c r="O5" s="290">
        <f>SUMIF(GRUPE!$A$5:$A$29,$N5,$A$3:$A$374)+SUMIF(GRUPE!$E$5:$E$29,$N5,$A$3:$A$374)</f>
        <v>0</v>
      </c>
      <c r="P5" s="290">
        <f>SUMIF(GRUPE!$A$5:$A$29,$N5,$B$3:$B$374)+SUMIF(GRUPE!$E$5:$E$29,$N5,$D$3:$D$374)</f>
        <v>0</v>
      </c>
      <c r="Q5" s="290">
        <f>SUMIF(GRUPE!$A$5:$A$29,$N5,$C$3:$C$374)+SUMIF(GRUPE!$E$5:$E$29,$N5,$C$3:$C$374)</f>
        <v>0</v>
      </c>
      <c r="R5" s="290">
        <f>O5-P5-Q5</f>
        <v>0</v>
      </c>
      <c r="S5" s="290">
        <f>SUMIF(GRUPE!$A$5:$A$29,$N5,GRUPE!$B$5:$B$29)+SUMIF(GRUPE!$E$5:$E$29,$N5,GRUPE!$D$5:$D$29)</f>
        <v>0</v>
      </c>
      <c r="T5" s="290">
        <f>SUMIF(GRUPE!$A$5:$A$29,$N5,GRUPE!$D$5:$D$29)+SUMIF(GRUPE!$E$5:$E$29,$N5,GRUPE!$B$5:$B$29)</f>
        <v>0</v>
      </c>
      <c r="U5" s="292">
        <f>P5*3+Q5</f>
        <v>0</v>
      </c>
      <c r="V5" s="290">
        <f>SUMIF(GRUPE!$A$5:$A$29,$N5,$F$3:$F$374)-SUMIF(GRUPE!$E$5:$E$29,$N5,$F$3:$F$374)</f>
        <v>0</v>
      </c>
      <c r="W5" s="290">
        <f>SUMIF(GRUPE!$A$5:$A$29,$N5,$G$3:$G$374)-SUMIF(GRUPE!$E$5:$E$29,$N5,$G$3:$G$374)</f>
        <v>0</v>
      </c>
      <c r="X5" s="290">
        <f>S5-T5</f>
        <v>0</v>
      </c>
    </row>
    <row r="6" spans="1:24" x14ac:dyDescent="0.2">
      <c r="A6" s="293">
        <f>IF(OR(ISBLANK(GRUPE!$B8),ISBLANK(GRUPE!$D8)),0,1)</f>
        <v>0</v>
      </c>
      <c r="B6" s="293">
        <f>IF(AND($A6=1,GRUPE!$B8&gt;GRUPE!$D8),1,0)</f>
        <v>0</v>
      </c>
      <c r="C6" s="293">
        <f>IF(AND($A6=1,GRUPE!$B8=GRUPE!$D8),1,0)</f>
        <v>0</v>
      </c>
      <c r="D6" s="293">
        <f>IF(AND($A6=1,GRUPE!$B8&lt;GRUPE!$D8),1,0)</f>
        <v>0</v>
      </c>
      <c r="E6" s="293" t="e">
        <f>IF(VLOOKUP(GRUPE!$A8,$N$2:$U$19,8,FALSE)=VLOOKUP(GRUPE!$E8,$N$2:$U$19,8,FALSE),1,0)</f>
        <v>#N/A</v>
      </c>
      <c r="F6" s="294" t="e">
        <f t="shared" si="0"/>
        <v>#N/A</v>
      </c>
      <c r="G6" s="294" t="e">
        <f>IF($E6=1,GRUPE!$B8-GRUPE!$D8,0)</f>
        <v>#N/A</v>
      </c>
      <c r="H6" s="294" t="e">
        <f>IF($E6=1,GRUPE!$D8,0)</f>
        <v>#N/A</v>
      </c>
      <c r="I6" s="287"/>
      <c r="J6" s="287"/>
      <c r="K6" s="290"/>
      <c r="L6" s="402"/>
      <c r="M6" s="402"/>
      <c r="N6" s="291"/>
      <c r="O6" s="290"/>
      <c r="P6" s="290"/>
      <c r="Q6" s="290"/>
      <c r="R6" s="290"/>
      <c r="S6" s="290"/>
      <c r="T6" s="290"/>
      <c r="U6" s="292"/>
      <c r="V6" s="290"/>
      <c r="W6" s="290"/>
      <c r="X6" s="290"/>
    </row>
    <row r="7" spans="1:24" x14ac:dyDescent="0.2">
      <c r="A7" s="293">
        <f>IF(OR(ISBLANK(GRUPE!$B9),ISBLANK(GRUPE!$D9)),0,1)</f>
        <v>0</v>
      </c>
      <c r="B7" s="293">
        <f>IF(AND($A7=1,GRUPE!$B9&gt;GRUPE!$D9),1,0)</f>
        <v>0</v>
      </c>
      <c r="C7" s="293">
        <f>IF(AND($A7=1,GRUPE!$B9=GRUPE!$D9),1,0)</f>
        <v>0</v>
      </c>
      <c r="D7" s="293">
        <f>IF(AND($A7=1,GRUPE!$B9&lt;GRUPE!$D9),1,0)</f>
        <v>0</v>
      </c>
      <c r="E7" s="293" t="e">
        <f>IF(VLOOKUP(GRUPE!$A9,$N$2:$U$19,8,FALSE)=VLOOKUP(GRUPE!$E9,$N$2:$U$19,8,FALSE),1,0)</f>
        <v>#N/A</v>
      </c>
      <c r="F7" s="294" t="e">
        <f t="shared" si="0"/>
        <v>#N/A</v>
      </c>
      <c r="G7" s="294" t="e">
        <f>IF($E7=1,GRUPE!$B9-GRUPE!$D9,0)</f>
        <v>#N/A</v>
      </c>
      <c r="H7" s="294" t="e">
        <f>IF($E7=1,GRUPE!$D9,0)</f>
        <v>#N/A</v>
      </c>
      <c r="I7" s="287"/>
      <c r="J7" s="287"/>
      <c r="K7" s="290"/>
      <c r="L7" s="402"/>
      <c r="M7" s="402"/>
      <c r="N7" s="291"/>
      <c r="O7" s="290"/>
      <c r="P7" s="290"/>
      <c r="Q7" s="290"/>
      <c r="R7" s="290"/>
      <c r="S7" s="290"/>
      <c r="T7" s="290"/>
      <c r="U7" s="292"/>
      <c r="V7" s="290"/>
      <c r="W7" s="290"/>
      <c r="X7" s="290"/>
    </row>
    <row r="8" spans="1:24" x14ac:dyDescent="0.2">
      <c r="A8" s="293">
        <f>IF(OR(ISBLANK(GRUPE!$B10),ISBLANK(GRUPE!$D10)),0,1)</f>
        <v>0</v>
      </c>
      <c r="B8" s="293">
        <f>IF(AND($A8=1,GRUPE!$B10&gt;GRUPE!$D10),1,0)</f>
        <v>0</v>
      </c>
      <c r="C8" s="293">
        <f>IF(AND($A8=1,GRUPE!$B10=GRUPE!$D10),1,0)</f>
        <v>0</v>
      </c>
      <c r="D8" s="293">
        <f>IF(AND($A8=1,GRUPE!$B10&lt;GRUPE!$D10),1,0)</f>
        <v>0</v>
      </c>
      <c r="E8" s="293" t="e">
        <f>IF(VLOOKUP(GRUPE!$A10,$N$2:$U$19,8,FALSE)=VLOOKUP(GRUPE!$E10,$N$2:$U$19,8,FALSE),1,0)</f>
        <v>#N/A</v>
      </c>
      <c r="F8" s="294" t="e">
        <f t="shared" si="0"/>
        <v>#N/A</v>
      </c>
      <c r="G8" s="294" t="e">
        <f>IF($E8=1,GRUPE!$B10-GRUPE!$D10,0)</f>
        <v>#N/A</v>
      </c>
      <c r="H8" s="294" t="e">
        <f>IF($E8=1,GRUPE!$D10,0)</f>
        <v>#N/A</v>
      </c>
      <c r="I8" s="287"/>
      <c r="J8" s="287"/>
      <c r="K8" s="290"/>
      <c r="L8" s="402"/>
      <c r="M8" s="402"/>
      <c r="N8" s="291"/>
      <c r="O8" s="290"/>
      <c r="P8" s="290"/>
      <c r="Q8" s="290"/>
      <c r="R8" s="290"/>
      <c r="S8" s="290"/>
      <c r="T8" s="290"/>
      <c r="U8" s="292"/>
      <c r="V8" s="290"/>
      <c r="W8" s="290"/>
      <c r="X8" s="290"/>
    </row>
    <row r="9" spans="1:24" x14ac:dyDescent="0.2">
      <c r="A9" s="293">
        <f>IF(OR(ISBLANK(GRUPE!$B11),ISBLANK(GRUPE!$D11)),0,1)</f>
        <v>0</v>
      </c>
      <c r="B9" s="293">
        <f>IF(AND($A9=1,GRUPE!$B11&gt;GRUPE!$D11),1,0)</f>
        <v>0</v>
      </c>
      <c r="C9" s="293">
        <f>IF(AND($A9=1,GRUPE!$B11=GRUPE!$D11),1,0)</f>
        <v>0</v>
      </c>
      <c r="D9" s="293">
        <f>IF(AND($A9=1,GRUPE!$B11&lt;GRUPE!$D11),1,0)</f>
        <v>0</v>
      </c>
      <c r="E9" s="293" t="e">
        <f>IF(VLOOKUP(GRUPE!$A11,$N$2:$U$19,8,FALSE)=VLOOKUP(GRUPE!$E11,$N$2:$U$19,8,FALSE),1,0)</f>
        <v>#N/A</v>
      </c>
      <c r="F9" s="294" t="e">
        <f t="shared" si="0"/>
        <v>#N/A</v>
      </c>
      <c r="G9" s="294" t="e">
        <f>IF($E9=1,GRUPE!$B11-GRUPE!$D11,0)</f>
        <v>#N/A</v>
      </c>
      <c r="H9" s="294" t="e">
        <f>IF($E9=1,GRUPE!$D11,0)</f>
        <v>#N/A</v>
      </c>
      <c r="I9" s="287"/>
      <c r="J9" s="287"/>
      <c r="K9" s="290"/>
      <c r="L9" s="402"/>
      <c r="M9" s="402"/>
      <c r="N9" s="291"/>
      <c r="O9" s="290"/>
      <c r="P9" s="290"/>
      <c r="Q9" s="290"/>
      <c r="R9" s="290"/>
      <c r="S9" s="290"/>
      <c r="T9" s="290"/>
      <c r="U9" s="292"/>
      <c r="V9" s="290"/>
      <c r="W9" s="290"/>
      <c r="X9" s="290"/>
    </row>
    <row r="10" spans="1:24" x14ac:dyDescent="0.2">
      <c r="A10" s="293">
        <f>IF(OR(ISBLANK(GRUPE!$B12),ISBLANK(GRUPE!$D12)),0,1)</f>
        <v>0</v>
      </c>
      <c r="B10" s="293">
        <f>IF(AND($A10=1,GRUPE!$B12&gt;GRUPE!$D12),1,0)</f>
        <v>0</v>
      </c>
      <c r="C10" s="293">
        <f>IF(AND($A10=1,GRUPE!$B12=GRUPE!$D12),1,0)</f>
        <v>0</v>
      </c>
      <c r="D10" s="293">
        <f>IF(AND($A10=1,GRUPE!$B12&lt;GRUPE!$D12),1,0)</f>
        <v>0</v>
      </c>
      <c r="E10" s="293" t="e">
        <f>IF(VLOOKUP(GRUPE!$A12,$N$2:$U$19,8,FALSE)=VLOOKUP(GRUPE!$E12,$N$2:$U$19,8,FALSE),1,0)</f>
        <v>#N/A</v>
      </c>
      <c r="F10" s="294" t="e">
        <f t="shared" si="0"/>
        <v>#N/A</v>
      </c>
      <c r="G10" s="294" t="e">
        <f>IF($E10=1,GRUPE!$B12-GRUPE!$D12,0)</f>
        <v>#N/A</v>
      </c>
      <c r="H10" s="294" t="e">
        <f>IF($E10=1,GRUPE!$D12,0)</f>
        <v>#N/A</v>
      </c>
      <c r="I10" s="287"/>
      <c r="J10" s="287"/>
      <c r="K10" s="290"/>
      <c r="L10" s="402"/>
      <c r="M10" s="402"/>
      <c r="N10" s="291"/>
      <c r="O10" s="290"/>
      <c r="P10" s="290"/>
      <c r="Q10" s="290"/>
      <c r="R10" s="290"/>
      <c r="S10" s="290"/>
      <c r="T10" s="290"/>
      <c r="U10" s="292"/>
      <c r="V10" s="290"/>
      <c r="W10" s="290"/>
      <c r="X10" s="290"/>
    </row>
    <row r="11" spans="1:24" x14ac:dyDescent="0.2">
      <c r="A11" s="293">
        <f>IF(OR(ISBLANK(GRUPE!$B13),ISBLANK(GRUPE!$D13)),0,1)</f>
        <v>0</v>
      </c>
      <c r="B11" s="293">
        <f>IF(AND($A11=1,GRUPE!$B13&gt;GRUPE!$D13),1,0)</f>
        <v>0</v>
      </c>
      <c r="C11" s="293">
        <f>IF(AND($A11=1,GRUPE!$B13=GRUPE!$D13),1,0)</f>
        <v>0</v>
      </c>
      <c r="D11" s="293">
        <f>IF(AND($A11=1,GRUPE!$B13&lt;GRUPE!$D13),1,0)</f>
        <v>0</v>
      </c>
      <c r="E11" s="293" t="e">
        <f>IF(VLOOKUP(GRUPE!$A13,$N$2:$U$19,8,FALSE)=VLOOKUP(GRUPE!$E13,$N$2:$U$19,8,FALSE),1,0)</f>
        <v>#N/A</v>
      </c>
      <c r="F11" s="294" t="e">
        <f t="shared" si="0"/>
        <v>#N/A</v>
      </c>
      <c r="G11" s="294" t="e">
        <f>IF($E11=1,GRUPE!$B13-GRUPE!$D13,0)</f>
        <v>#N/A</v>
      </c>
      <c r="H11" s="294" t="e">
        <f>IF($E11=1,GRUPE!$D13,0)</f>
        <v>#N/A</v>
      </c>
      <c r="I11" s="287"/>
      <c r="J11" s="287"/>
      <c r="K11" s="290"/>
      <c r="L11" s="402"/>
      <c r="M11" s="402"/>
      <c r="N11" s="291"/>
      <c r="O11" s="290"/>
      <c r="P11" s="290"/>
      <c r="Q11" s="290"/>
      <c r="R11" s="290"/>
      <c r="S11" s="290"/>
      <c r="T11" s="290"/>
      <c r="U11" s="292"/>
      <c r="V11" s="290"/>
      <c r="W11" s="290"/>
      <c r="X11" s="290"/>
    </row>
    <row r="12" spans="1:24" x14ac:dyDescent="0.2">
      <c r="A12" s="293"/>
      <c r="B12" s="293"/>
      <c r="C12" s="293"/>
      <c r="D12" s="293"/>
      <c r="E12" s="293"/>
      <c r="F12" s="294"/>
      <c r="G12" s="294"/>
      <c r="H12" s="294"/>
      <c r="I12" s="287"/>
      <c r="J12" s="287"/>
      <c r="K12" s="290"/>
      <c r="L12" s="402"/>
      <c r="M12" s="402"/>
      <c r="N12" s="291"/>
      <c r="O12" s="290"/>
      <c r="P12" s="290"/>
      <c r="Q12" s="290"/>
      <c r="R12" s="290"/>
      <c r="S12" s="290"/>
      <c r="T12" s="290"/>
      <c r="U12" s="292"/>
      <c r="V12" s="290"/>
      <c r="W12" s="290"/>
      <c r="X12" s="290"/>
    </row>
    <row r="13" spans="1:24" x14ac:dyDescent="0.2">
      <c r="A13" s="293"/>
      <c r="B13" s="293"/>
      <c r="C13" s="293"/>
      <c r="D13" s="293"/>
      <c r="E13" s="293"/>
      <c r="F13" s="294"/>
      <c r="G13" s="294"/>
      <c r="H13" s="294"/>
      <c r="I13" s="287"/>
      <c r="J13" s="287"/>
      <c r="K13" s="290"/>
      <c r="L13" s="402"/>
      <c r="M13" s="402"/>
      <c r="N13" s="291"/>
      <c r="O13" s="290"/>
      <c r="P13" s="290"/>
      <c r="Q13" s="290"/>
      <c r="R13" s="290"/>
      <c r="S13" s="290"/>
      <c r="T13" s="290"/>
      <c r="U13" s="292"/>
      <c r="V13" s="290"/>
      <c r="W13" s="290"/>
      <c r="X13" s="290"/>
    </row>
    <row r="14" spans="1:24" x14ac:dyDescent="0.2">
      <c r="A14" s="293">
        <f>IF(OR(ISBLANK(GRUPE!$B16),ISBLANK(GRUPE!$D16)),0,1)</f>
        <v>1</v>
      </c>
      <c r="B14" s="293">
        <f>IF(AND($A14=1,GRUPE!$B16&gt;GRUPE!$D16),1,0)</f>
        <v>1</v>
      </c>
      <c r="C14" s="293">
        <f>IF(AND($A14=1,GRUPE!$B16=GRUPE!$D16),1,0)</f>
        <v>0</v>
      </c>
      <c r="D14" s="293">
        <f>IF(AND($A14=1,GRUPE!$B16&lt;GRUPE!$D16),1,0)</f>
        <v>0</v>
      </c>
      <c r="E14" s="293" t="e">
        <f>IF(VLOOKUP(GRUPE!$A16,$N$2:$U$19,8,FALSE)=VLOOKUP(GRUPE!$E16,$N$2:$U$19,8,FALSE),1,0)</f>
        <v>#REF!</v>
      </c>
      <c r="F14" s="294" t="e">
        <f t="shared" ref="F14:F22" si="1">IF($E14=1,2*$B14-2*$D14,0)</f>
        <v>#REF!</v>
      </c>
      <c r="G14" s="294" t="e">
        <f>IF($E14=1,GRUPE!$B16-GRUPE!$D16,0)</f>
        <v>#REF!</v>
      </c>
      <c r="H14" s="294" t="e">
        <f>IF($E14=1,GRUPE!$D16,0)</f>
        <v>#REF!</v>
      </c>
      <c r="I14" s="287"/>
      <c r="J14" s="287"/>
      <c r="K14" s="290"/>
      <c r="L14" s="402"/>
      <c r="M14" s="402"/>
      <c r="N14" s="291"/>
      <c r="O14" s="290"/>
      <c r="P14" s="290"/>
      <c r="Q14" s="290"/>
      <c r="R14" s="290"/>
      <c r="S14" s="290"/>
      <c r="T14" s="290"/>
      <c r="U14" s="292"/>
      <c r="V14" s="290"/>
      <c r="W14" s="290"/>
      <c r="X14" s="290"/>
    </row>
    <row r="15" spans="1:24" x14ac:dyDescent="0.2">
      <c r="A15" s="293">
        <f>IF(OR(ISBLANK(GRUPE!$B17),ISBLANK(GRUPE!$D17)),0,1)</f>
        <v>1</v>
      </c>
      <c r="B15" s="293">
        <f>IF(AND($A15=1,GRUPE!$B17&gt;GRUPE!$D17),1,0)</f>
        <v>1</v>
      </c>
      <c r="C15" s="293">
        <f>IF(AND($A15=1,GRUPE!$B17=GRUPE!$D17),1,0)</f>
        <v>0</v>
      </c>
      <c r="D15" s="293">
        <f>IF(AND($A15=1,GRUPE!$B17&lt;GRUPE!$D17),1,0)</f>
        <v>0</v>
      </c>
      <c r="E15" s="293" t="e">
        <f>IF(VLOOKUP(GRUPE!$A17,$N$2:$U$19,8,FALSE)=VLOOKUP(GRUPE!$E17,$N$2:$U$19,8,FALSE),1,0)</f>
        <v>#REF!</v>
      </c>
      <c r="F15" s="294" t="e">
        <f t="shared" si="1"/>
        <v>#REF!</v>
      </c>
      <c r="G15" s="294" t="e">
        <f>IF($E15=1,GRUPE!$B17-GRUPE!$D17,0)</f>
        <v>#REF!</v>
      </c>
      <c r="H15" s="294" t="e">
        <f>IF($E15=1,GRUPE!$D17,0)</f>
        <v>#REF!</v>
      </c>
      <c r="I15" s="287"/>
      <c r="J15" s="287"/>
      <c r="K15" s="290"/>
      <c r="L15" s="402"/>
      <c r="M15" s="402"/>
      <c r="N15" s="291"/>
      <c r="O15" s="290"/>
      <c r="P15" s="290"/>
      <c r="Q15" s="290"/>
      <c r="R15" s="290"/>
      <c r="S15" s="290"/>
      <c r="T15" s="290"/>
      <c r="U15" s="292"/>
      <c r="V15" s="290"/>
      <c r="W15" s="290"/>
      <c r="X15" s="290"/>
    </row>
    <row r="16" spans="1:24" x14ac:dyDescent="0.2">
      <c r="A16" s="293">
        <f>IF(OR(ISBLANK(GRUPE!$B18),ISBLANK(GRUPE!$D18)),0,1)</f>
        <v>0</v>
      </c>
      <c r="B16" s="293">
        <f>IF(AND($A16=1,GRUPE!$B18&gt;GRUPE!$D18),1,0)</f>
        <v>0</v>
      </c>
      <c r="C16" s="293">
        <f>IF(AND($A16=1,GRUPE!$B18=GRUPE!$D18),1,0)</f>
        <v>0</v>
      </c>
      <c r="D16" s="293">
        <f>IF(AND($A16=1,GRUPE!$B18&lt;GRUPE!$D18),1,0)</f>
        <v>0</v>
      </c>
      <c r="E16" s="293" t="e">
        <f>IF(VLOOKUP(GRUPE!$A18,$N$2:$U$19,8,FALSE)=VLOOKUP(GRUPE!$E18,$N$2:$U$19,8,FALSE),1,0)</f>
        <v>#N/A</v>
      </c>
      <c r="F16" s="294" t="e">
        <f t="shared" si="1"/>
        <v>#N/A</v>
      </c>
      <c r="G16" s="294" t="e">
        <f>IF($E16=1,GRUPE!$B18-GRUPE!$D18,0)</f>
        <v>#N/A</v>
      </c>
      <c r="H16" s="294" t="e">
        <f>IF($E16=1,GRUPE!$D18,0)</f>
        <v>#N/A</v>
      </c>
      <c r="I16" s="287"/>
      <c r="J16" s="287"/>
      <c r="K16" s="290"/>
      <c r="L16" s="402"/>
      <c r="M16" s="402"/>
      <c r="N16" s="291"/>
      <c r="O16" s="290"/>
      <c r="P16" s="290"/>
      <c r="Q16" s="290"/>
      <c r="R16" s="290"/>
      <c r="S16" s="290"/>
      <c r="T16" s="290"/>
      <c r="U16" s="292"/>
      <c r="V16" s="290"/>
      <c r="W16" s="290"/>
      <c r="X16" s="290"/>
    </row>
    <row r="17" spans="1:24" x14ac:dyDescent="0.2">
      <c r="A17" s="293">
        <f>IF(OR(ISBLANK(GRUPE!$B19),ISBLANK(GRUPE!$D19)),0,1)</f>
        <v>0</v>
      </c>
      <c r="B17" s="293">
        <f>IF(AND($A17=1,GRUPE!$B19&gt;GRUPE!$D19),1,0)</f>
        <v>0</v>
      </c>
      <c r="C17" s="293">
        <f>IF(AND($A17=1,GRUPE!$B19=GRUPE!$D19),1,0)</f>
        <v>0</v>
      </c>
      <c r="D17" s="293">
        <f>IF(AND($A17=1,GRUPE!$B19&lt;GRUPE!$D19),1,0)</f>
        <v>0</v>
      </c>
      <c r="E17" s="293" t="e">
        <f>IF(VLOOKUP(GRUPE!$A19,$N$2:$U$19,8,FALSE)=VLOOKUP(GRUPE!$E19,$N$2:$U$19,8,FALSE),1,0)</f>
        <v>#N/A</v>
      </c>
      <c r="F17" s="294" t="e">
        <f t="shared" si="1"/>
        <v>#N/A</v>
      </c>
      <c r="G17" s="294" t="e">
        <f>IF($E17=1,GRUPE!$B19-GRUPE!$D19,0)</f>
        <v>#N/A</v>
      </c>
      <c r="H17" s="294" t="e">
        <f>IF($E17=1,GRUPE!$D19,0)</f>
        <v>#N/A</v>
      </c>
      <c r="I17" s="287"/>
      <c r="J17" s="287"/>
      <c r="K17" s="290"/>
      <c r="L17" s="402"/>
      <c r="M17" s="402"/>
      <c r="N17" s="291"/>
      <c r="O17" s="290"/>
      <c r="P17" s="290"/>
      <c r="Q17" s="290"/>
      <c r="R17" s="290"/>
      <c r="S17" s="290"/>
      <c r="T17" s="290"/>
      <c r="U17" s="292"/>
      <c r="V17" s="290"/>
      <c r="W17" s="290"/>
      <c r="X17" s="290"/>
    </row>
    <row r="18" spans="1:24" x14ac:dyDescent="0.2">
      <c r="A18" s="293">
        <f>IF(OR(ISBLANK(GRUPE!$B20),ISBLANK(GRUPE!$D20)),0,1)</f>
        <v>0</v>
      </c>
      <c r="B18" s="293">
        <f>IF(AND($A18=1,GRUPE!$B20&gt;GRUPE!$D20),1,0)</f>
        <v>0</v>
      </c>
      <c r="C18" s="293">
        <f>IF(AND($A18=1,GRUPE!$B20=GRUPE!$D20),1,0)</f>
        <v>0</v>
      </c>
      <c r="D18" s="293">
        <f>IF(AND($A18=1,GRUPE!$B20&lt;GRUPE!$D20),1,0)</f>
        <v>0</v>
      </c>
      <c r="E18" s="293" t="e">
        <f>IF(VLOOKUP(GRUPE!$A20,$N$2:$U$19,8,FALSE)=VLOOKUP(GRUPE!$E20,$N$2:$U$19,8,FALSE),1,0)</f>
        <v>#N/A</v>
      </c>
      <c r="F18" s="294" t="e">
        <f t="shared" si="1"/>
        <v>#N/A</v>
      </c>
      <c r="G18" s="294" t="e">
        <f>IF($E18=1,GRUPE!$B20-GRUPE!$D20,0)</f>
        <v>#N/A</v>
      </c>
      <c r="H18" s="294" t="e">
        <f>IF($E18=1,GRUPE!$D20,0)</f>
        <v>#N/A</v>
      </c>
      <c r="I18" s="287"/>
      <c r="J18" s="287"/>
      <c r="K18" s="290"/>
      <c r="L18" s="402"/>
      <c r="M18" s="402"/>
      <c r="N18" s="291"/>
      <c r="O18" s="290"/>
      <c r="P18" s="290"/>
      <c r="Q18" s="290"/>
      <c r="R18" s="290"/>
      <c r="S18" s="290"/>
      <c r="T18" s="290"/>
      <c r="U18" s="292"/>
      <c r="V18" s="290"/>
      <c r="W18" s="290"/>
      <c r="X18" s="290"/>
    </row>
    <row r="19" spans="1:24" x14ac:dyDescent="0.2">
      <c r="A19" s="293">
        <f>IF(OR(ISBLANK(GRUPE!$B21),ISBLANK(GRUPE!$D21)),0,1)</f>
        <v>0</v>
      </c>
      <c r="B19" s="293">
        <f>IF(AND($A19=1,GRUPE!$B21&gt;GRUPE!$D21),1,0)</f>
        <v>0</v>
      </c>
      <c r="C19" s="293">
        <f>IF(AND($A19=1,GRUPE!$B21=GRUPE!$D21),1,0)</f>
        <v>0</v>
      </c>
      <c r="D19" s="293">
        <f>IF(AND($A19=1,GRUPE!$B21&lt;GRUPE!$D21),1,0)</f>
        <v>0</v>
      </c>
      <c r="E19" s="293" t="e">
        <f>IF(VLOOKUP(GRUPE!$A21,$N$2:$U$19,8,FALSE)=VLOOKUP(GRUPE!$E21,$N$2:$U$19,8,FALSE),1,0)</f>
        <v>#N/A</v>
      </c>
      <c r="F19" s="294" t="e">
        <f t="shared" si="1"/>
        <v>#N/A</v>
      </c>
      <c r="G19" s="294" t="e">
        <f>IF($E19=1,GRUPE!$B21-GRUPE!$D21,0)</f>
        <v>#N/A</v>
      </c>
      <c r="H19" s="294" t="e">
        <f>IF($E19=1,GRUPE!$D21,0)</f>
        <v>#N/A</v>
      </c>
      <c r="I19" s="287"/>
      <c r="J19" s="287"/>
      <c r="K19" s="290"/>
      <c r="L19" s="402"/>
      <c r="M19" s="402"/>
      <c r="N19" s="291"/>
      <c r="O19" s="290"/>
      <c r="P19" s="290"/>
      <c r="Q19" s="290"/>
      <c r="R19" s="290"/>
      <c r="S19" s="290"/>
      <c r="T19" s="290"/>
      <c r="U19" s="292"/>
      <c r="V19" s="290"/>
      <c r="W19" s="290"/>
      <c r="X19" s="290"/>
    </row>
    <row r="20" spans="1:24" x14ac:dyDescent="0.2">
      <c r="A20" s="293">
        <f>IF(OR(ISBLANK(GRUPE!$B22),ISBLANK(GRUPE!$D22)),0,1)</f>
        <v>0</v>
      </c>
      <c r="B20" s="293">
        <f>IF(AND($A20=1,GRUPE!$B22&gt;GRUPE!$D22),1,0)</f>
        <v>0</v>
      </c>
      <c r="C20" s="293">
        <f>IF(AND($A20=1,GRUPE!$B22=GRUPE!$D22),1,0)</f>
        <v>0</v>
      </c>
      <c r="D20" s="293">
        <f>IF(AND($A20=1,GRUPE!$B22&lt;GRUPE!$D22),1,0)</f>
        <v>0</v>
      </c>
      <c r="E20" s="293" t="e">
        <f>IF(VLOOKUP(GRUPE!$A22,$N$2:$U$19,8,FALSE)=VLOOKUP(GRUPE!$E22,$N$2:$U$19,8,FALSE),1,0)</f>
        <v>#N/A</v>
      </c>
      <c r="F20" s="294" t="e">
        <f t="shared" si="1"/>
        <v>#N/A</v>
      </c>
      <c r="G20" s="294" t="e">
        <f>IF($E20=1,GRUPE!$B22-GRUPE!$D22,0)</f>
        <v>#N/A</v>
      </c>
      <c r="H20" s="294" t="e">
        <f>IF($E20=1,GRUPE!$D22,0)</f>
        <v>#N/A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x14ac:dyDescent="0.2">
      <c r="A21" s="293">
        <f>IF(OR(ISBLANK(GRUPE!$B23),ISBLANK(GRUPE!$D23)),0,1)</f>
        <v>0</v>
      </c>
      <c r="B21" s="293">
        <f>IF(AND($A21=1,GRUPE!$B23&gt;GRUPE!$D23),1,0)</f>
        <v>0</v>
      </c>
      <c r="C21" s="293">
        <f>IF(AND($A21=1,GRUPE!$B23=GRUPE!$D23),1,0)</f>
        <v>0</v>
      </c>
      <c r="D21" s="293">
        <f>IF(AND($A21=1,GRUPE!$B23&lt;GRUPE!$D23),1,0)</f>
        <v>0</v>
      </c>
      <c r="E21" s="293" t="e">
        <f>IF(VLOOKUP(GRUPE!$A23,$N$2:$U$19,8,FALSE)=VLOOKUP(GRUPE!$E23,$N$2:$U$19,8,FALSE),1,0)</f>
        <v>#N/A</v>
      </c>
      <c r="F21" s="294" t="e">
        <f t="shared" si="1"/>
        <v>#N/A</v>
      </c>
      <c r="G21" s="294" t="e">
        <f>IF($E21=1,GRUPE!$B23-GRUPE!$D23,0)</f>
        <v>#N/A</v>
      </c>
      <c r="H21" s="294" t="e">
        <f>IF($E21=1,GRUPE!$D23,0)</f>
        <v>#N/A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x14ac:dyDescent="0.2">
      <c r="A22" s="293">
        <f>IF(OR(ISBLANK(GRUPE!$B24),ISBLANK(GRUPE!$D24)),0,1)</f>
        <v>0</v>
      </c>
      <c r="B22" s="293">
        <f>IF(AND($A22=1,GRUPE!$B24&gt;GRUPE!$D24),1,0)</f>
        <v>0</v>
      </c>
      <c r="C22" s="293">
        <f>IF(AND($A22=1,GRUPE!$B24=GRUPE!$D24),1,0)</f>
        <v>0</v>
      </c>
      <c r="D22" s="293">
        <f>IF(AND($A22=1,GRUPE!$B24&lt;GRUPE!$D24),1,0)</f>
        <v>0</v>
      </c>
      <c r="E22" s="293" t="e">
        <f>IF(VLOOKUP(GRUPE!$A24,$N$2:$U$19,8,FALSE)=VLOOKUP(GRUPE!$E24,$N$2:$U$19,8,FALSE),1,0)</f>
        <v>#N/A</v>
      </c>
      <c r="F22" s="294" t="e">
        <f t="shared" si="1"/>
        <v>#N/A</v>
      </c>
      <c r="G22" s="294" t="e">
        <f>IF($E22=1,GRUPE!$B24-GRUPE!$D24,0)</f>
        <v>#N/A</v>
      </c>
      <c r="H22" s="294" t="e">
        <f>IF($E22=1,GRUPE!$D24,0)</f>
        <v>#N/A</v>
      </c>
      <c r="I22" s="287"/>
      <c r="J22" s="287"/>
      <c r="K22" s="287"/>
      <c r="L22" s="287"/>
      <c r="M22" s="287"/>
      <c r="N22" s="295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x14ac:dyDescent="0.2">
      <c r="A23" s="293"/>
      <c r="B23" s="293"/>
      <c r="C23" s="293"/>
      <c r="D23" s="293"/>
      <c r="E23" s="293"/>
      <c r="F23" s="294"/>
      <c r="G23" s="294"/>
      <c r="H23" s="294"/>
      <c r="I23" s="287"/>
      <c r="J23" s="287"/>
      <c r="K23" s="287"/>
      <c r="L23" s="287"/>
      <c r="M23" s="287"/>
      <c r="N23" s="296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x14ac:dyDescent="0.2">
      <c r="A24" s="293"/>
      <c r="B24" s="293"/>
      <c r="C24" s="293"/>
      <c r="D24" s="293"/>
      <c r="E24" s="293"/>
      <c r="F24" s="294"/>
      <c r="G24" s="294"/>
      <c r="H24" s="294"/>
      <c r="I24" s="287"/>
      <c r="J24" s="287"/>
      <c r="K24" s="287"/>
      <c r="L24" s="287"/>
      <c r="M24" s="287"/>
      <c r="N24" s="296"/>
      <c r="O24" s="287"/>
      <c r="P24" s="287"/>
      <c r="Q24" s="287"/>
      <c r="R24" s="287"/>
      <c r="S24" s="287"/>
      <c r="T24" s="287"/>
      <c r="U24" s="287"/>
      <c r="V24" s="287"/>
      <c r="W24" s="297"/>
      <c r="X24" s="287"/>
    </row>
    <row r="25" spans="1:24" x14ac:dyDescent="0.2">
      <c r="A25" s="293">
        <f>IF(OR(ISBLANK(GRUPE!$B27),ISBLANK(GRUPE!$D27)),0,1)</f>
        <v>1</v>
      </c>
      <c r="B25" s="293">
        <f>IF(AND($A25=1,GRUPE!$B27&gt;GRUPE!$D27),1,0)</f>
        <v>1</v>
      </c>
      <c r="C25" s="293">
        <f>IF(AND($A25=1,GRUPE!$B27=GRUPE!$D27),1,0)</f>
        <v>0</v>
      </c>
      <c r="D25" s="293">
        <f>IF(AND($A25=1,GRUPE!$B27&lt;GRUPE!$D27),1,0)</f>
        <v>0</v>
      </c>
      <c r="E25" s="293" t="e">
        <f>IF(VLOOKUP(GRUPE!$A27,$N$2:$U$19,8,FALSE)=VLOOKUP(GRUPE!$E27,$N$2:$U$19,8,FALSE),1,0)</f>
        <v>#REF!</v>
      </c>
      <c r="F25" s="294" t="e">
        <f t="shared" ref="F25:F33" si="2">IF($E25=1,2*$B25-2*$D25,0)</f>
        <v>#REF!</v>
      </c>
      <c r="G25" s="294" t="e">
        <f>IF($E25=1,GRUPE!$B27-GRUPE!$D27,0)</f>
        <v>#REF!</v>
      </c>
      <c r="H25" s="294" t="e">
        <f>IF($E25=1,GRUPE!$D27,0)</f>
        <v>#REF!</v>
      </c>
      <c r="I25" s="287"/>
      <c r="J25" s="287"/>
      <c r="L25" s="298"/>
      <c r="M25" s="298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x14ac:dyDescent="0.2">
      <c r="A26" s="293">
        <f>IF(OR(ISBLANK(GRUPE!$B28),ISBLANK(GRUPE!$D28)),0,1)</f>
        <v>1</v>
      </c>
      <c r="B26" s="293">
        <f>IF(AND($A26=1,GRUPE!$B28&gt;GRUPE!$D28),1,0)</f>
        <v>1</v>
      </c>
      <c r="C26" s="293">
        <f>IF(AND($A26=1,GRUPE!$B28=GRUPE!$D28),1,0)</f>
        <v>0</v>
      </c>
      <c r="D26" s="293">
        <f>IF(AND($A26=1,GRUPE!$B28&lt;GRUPE!$D28),1,0)</f>
        <v>0</v>
      </c>
      <c r="E26" s="293" t="e">
        <f>IF(VLOOKUP(GRUPE!$A28,$N$2:$U$19,8,FALSE)=VLOOKUP(GRUPE!$E28,$N$2:$U$19,8,FALSE),1,0)</f>
        <v>#REF!</v>
      </c>
      <c r="F26" s="294" t="e">
        <f t="shared" si="2"/>
        <v>#REF!</v>
      </c>
      <c r="G26" s="294" t="e">
        <f>IF($E26=1,GRUPE!$B28-GRUPE!$D28,0)</f>
        <v>#REF!</v>
      </c>
      <c r="H26" s="294" t="e">
        <f>IF($E26=1,GRUPE!$D28,0)</f>
        <v>#REF!</v>
      </c>
      <c r="I26" s="287"/>
      <c r="J26" s="287"/>
      <c r="K26" s="298"/>
      <c r="L26" s="298"/>
      <c r="M26" s="298"/>
      <c r="N26" s="299"/>
      <c r="O26" s="287"/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x14ac:dyDescent="0.2">
      <c r="A27" s="293">
        <f>IF(OR(ISBLANK(GRUPE!$B29),ISBLANK(GRUPE!$D29)),0,1)</f>
        <v>0</v>
      </c>
      <c r="B27" s="293">
        <f>IF(AND($A27=1,GRUPE!$B29&gt;GRUPE!$D29),1,0)</f>
        <v>0</v>
      </c>
      <c r="C27" s="293">
        <f>IF(AND($A27=1,GRUPE!$B29=GRUPE!$D29),1,0)</f>
        <v>0</v>
      </c>
      <c r="D27" s="293">
        <f>IF(AND($A27=1,GRUPE!$B29&lt;GRUPE!$D29),1,0)</f>
        <v>0</v>
      </c>
      <c r="E27" s="293" t="e">
        <f>IF(VLOOKUP(GRUPE!$A29,$N$2:$U$19,8,FALSE)=VLOOKUP(GRUPE!$E29,$N$2:$U$19,8,FALSE),1,0)</f>
        <v>#N/A</v>
      </c>
      <c r="F27" s="294" t="e">
        <f t="shared" si="2"/>
        <v>#N/A</v>
      </c>
      <c r="G27" s="294" t="e">
        <f>IF($E27=1,GRUPE!$B29-GRUPE!$D29,0)</f>
        <v>#N/A</v>
      </c>
      <c r="H27" s="294" t="e">
        <f>IF($E27=1,GRUPE!$D29,0)</f>
        <v>#N/A</v>
      </c>
      <c r="I27" s="287"/>
      <c r="J27" s="287"/>
      <c r="K27" s="298"/>
      <c r="L27" s="298"/>
      <c r="M27" s="298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x14ac:dyDescent="0.2">
      <c r="A28" s="293">
        <f>IF(OR(ISBLANK(GRUPE!#REF!),ISBLANK(GRUPE!#REF!)),0,1)</f>
        <v>1</v>
      </c>
      <c r="B28" s="293" t="e">
        <f>IF(AND($A28=1,GRUPE!#REF!&gt;GRUPE!#REF!),1,0)</f>
        <v>#REF!</v>
      </c>
      <c r="C28" s="293" t="e">
        <f>IF(AND($A28=1,GRUPE!#REF!=GRUPE!#REF!),1,0)</f>
        <v>#REF!</v>
      </c>
      <c r="D28" s="293" t="e">
        <f>IF(AND($A28=1,GRUPE!#REF!&lt;GRUPE!#REF!),1,0)</f>
        <v>#REF!</v>
      </c>
      <c r="E28" s="293" t="e">
        <f>IF(VLOOKUP(GRUPE!#REF!,$N$2:$U$19,8,FALSE)=VLOOKUP(GRUPE!#REF!,$N$2:$U$19,8,FALSE),1,0)</f>
        <v>#REF!</v>
      </c>
      <c r="F28" s="294" t="e">
        <f t="shared" si="2"/>
        <v>#REF!</v>
      </c>
      <c r="G28" s="294" t="e">
        <f>IF($E28=1,GRUPE!#REF!-GRUPE!#REF!,0)</f>
        <v>#REF!</v>
      </c>
      <c r="H28" s="294" t="e">
        <f>IF($E28=1,GRUPE!#REF!,0)</f>
        <v>#REF!</v>
      </c>
      <c r="I28" s="287"/>
      <c r="J28" s="287"/>
      <c r="K28" s="298"/>
      <c r="L28" s="298"/>
      <c r="M28" s="298"/>
      <c r="O28" s="287"/>
      <c r="P28" s="287"/>
      <c r="Q28" s="287"/>
      <c r="R28" s="287"/>
      <c r="S28" s="287"/>
      <c r="T28" s="287"/>
      <c r="U28" s="287"/>
      <c r="V28" s="287"/>
      <c r="W28" s="297"/>
      <c r="X28" s="287"/>
    </row>
    <row r="29" spans="1:24" x14ac:dyDescent="0.2">
      <c r="A29" s="293">
        <f>IF(OR(ISBLANK(GRUPE!#REF!),ISBLANK(GRUPE!#REF!)),0,1)</f>
        <v>1</v>
      </c>
      <c r="B29" s="293" t="e">
        <f>IF(AND($A29=1,GRUPE!#REF!&gt;GRUPE!#REF!),1,0)</f>
        <v>#REF!</v>
      </c>
      <c r="C29" s="293" t="e">
        <f>IF(AND($A29=1,GRUPE!#REF!=GRUPE!#REF!),1,0)</f>
        <v>#REF!</v>
      </c>
      <c r="D29" s="293" t="e">
        <f>IF(AND($A29=1,GRUPE!#REF!&lt;GRUPE!#REF!),1,0)</f>
        <v>#REF!</v>
      </c>
      <c r="E29" s="293" t="e">
        <f>IF(VLOOKUP(GRUPE!#REF!,$N$2:$U$19,8,FALSE)=VLOOKUP(GRUPE!#REF!,$N$2:$U$19,8,FALSE),1,0)</f>
        <v>#REF!</v>
      </c>
      <c r="F29" s="294" t="e">
        <f t="shared" si="2"/>
        <v>#REF!</v>
      </c>
      <c r="G29" s="294" t="e">
        <f>IF($E29=1,GRUPE!#REF!-GRUPE!#REF!,0)</f>
        <v>#REF!</v>
      </c>
      <c r="H29" s="294" t="e">
        <f>IF($E29=1,GRUPE!#REF!,0)</f>
        <v>#REF!</v>
      </c>
      <c r="I29" s="287"/>
      <c r="J29" s="287"/>
      <c r="K29" s="298"/>
      <c r="L29" s="298"/>
      <c r="M29" s="298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x14ac:dyDescent="0.2">
      <c r="A30" s="293">
        <f>IF(OR(ISBLANK(GRUPE!#REF!),ISBLANK(GRUPE!#REF!)),0,1)</f>
        <v>1</v>
      </c>
      <c r="B30" s="293" t="e">
        <f>IF(AND($A30=1,GRUPE!#REF!&gt;GRUPE!#REF!),1,0)</f>
        <v>#REF!</v>
      </c>
      <c r="C30" s="293" t="e">
        <f>IF(AND($A30=1,GRUPE!#REF!=GRUPE!#REF!),1,0)</f>
        <v>#REF!</v>
      </c>
      <c r="D30" s="293" t="e">
        <f>IF(AND($A30=1,GRUPE!#REF!&lt;GRUPE!#REF!),1,0)</f>
        <v>#REF!</v>
      </c>
      <c r="E30" s="293" t="e">
        <f>IF(VLOOKUP(GRUPE!#REF!,$N$2:$U$19,8,FALSE)=VLOOKUP(GRUPE!#REF!,$N$2:$U$19,8,FALSE),1,0)</f>
        <v>#REF!</v>
      </c>
      <c r="F30" s="294" t="e">
        <f t="shared" si="2"/>
        <v>#REF!</v>
      </c>
      <c r="G30" s="294" t="e">
        <f>IF($E30=1,GRUPE!#REF!-GRUPE!#REF!,0)</f>
        <v>#REF!</v>
      </c>
      <c r="H30" s="294" t="e">
        <f>IF($E30=1,GRUPE!#REF!,0)</f>
        <v>#REF!</v>
      </c>
      <c r="I30" s="287"/>
      <c r="J30" s="287"/>
      <c r="K30" s="298"/>
      <c r="L30" s="298"/>
      <c r="M30" s="298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x14ac:dyDescent="0.2">
      <c r="A31" s="293">
        <f>IF(OR(ISBLANK(GRUPE!#REF!),ISBLANK(GRUPE!#REF!)),0,1)</f>
        <v>1</v>
      </c>
      <c r="B31" s="293" t="e">
        <f>IF(AND($A31=1,GRUPE!#REF!&gt;GRUPE!#REF!),1,0)</f>
        <v>#REF!</v>
      </c>
      <c r="C31" s="293" t="e">
        <f>IF(AND($A31=1,GRUPE!#REF!=GRUPE!#REF!),1,0)</f>
        <v>#REF!</v>
      </c>
      <c r="D31" s="293" t="e">
        <f>IF(AND($A31=1,GRUPE!#REF!&lt;GRUPE!#REF!),1,0)</f>
        <v>#REF!</v>
      </c>
      <c r="E31" s="293" t="e">
        <f>IF(VLOOKUP(GRUPE!#REF!,$N$2:$U$19,8,FALSE)=VLOOKUP(GRUPE!#REF!,$N$2:$U$19,8,FALSE),1,0)</f>
        <v>#REF!</v>
      </c>
      <c r="F31" s="294" t="e">
        <f t="shared" si="2"/>
        <v>#REF!</v>
      </c>
      <c r="G31" s="294" t="e">
        <f>IF($E31=1,GRUPE!#REF!-GRUPE!#REF!,0)</f>
        <v>#REF!</v>
      </c>
      <c r="H31" s="294" t="e">
        <f>IF($E31=1,GRUPE!#REF!,0)</f>
        <v>#REF!</v>
      </c>
      <c r="I31" s="287"/>
      <c r="J31" s="287"/>
      <c r="K31" s="298"/>
      <c r="L31" s="298"/>
      <c r="M31" s="298"/>
      <c r="N31" s="299"/>
      <c r="O31" s="287"/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x14ac:dyDescent="0.2">
      <c r="A32" s="293">
        <f>IF(OR(ISBLANK(GRUPE!#REF!),ISBLANK(GRUPE!#REF!)),0,1)</f>
        <v>1</v>
      </c>
      <c r="B32" s="293" t="e">
        <f>IF(AND($A32=1,GRUPE!#REF!&gt;GRUPE!#REF!),1,0)</f>
        <v>#REF!</v>
      </c>
      <c r="C32" s="293" t="e">
        <f>IF(AND($A32=1,GRUPE!#REF!=GRUPE!#REF!),1,0)</f>
        <v>#REF!</v>
      </c>
      <c r="D32" s="293" t="e">
        <f>IF(AND($A32=1,GRUPE!#REF!&lt;GRUPE!#REF!),1,0)</f>
        <v>#REF!</v>
      </c>
      <c r="E32" s="293" t="e">
        <f>IF(VLOOKUP(GRUPE!#REF!,$N$2:$U$19,8,FALSE)=VLOOKUP(GRUPE!#REF!,$N$2:$U$19,8,FALSE),1,0)</f>
        <v>#REF!</v>
      </c>
      <c r="F32" s="294" t="e">
        <f t="shared" si="2"/>
        <v>#REF!</v>
      </c>
      <c r="G32" s="294" t="e">
        <f>IF($E32=1,GRUPE!#REF!-GRUPE!#REF!,0)</f>
        <v>#REF!</v>
      </c>
      <c r="H32" s="294" t="e">
        <f>IF($E32=1,GRUPE!#REF!,0)</f>
        <v>#REF!</v>
      </c>
      <c r="I32" s="287"/>
      <c r="J32" s="287"/>
      <c r="K32" s="299"/>
      <c r="L32" s="298"/>
      <c r="M32" s="298"/>
      <c r="N32" s="299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4" x14ac:dyDescent="0.2">
      <c r="A33" s="293">
        <f>IF(OR(ISBLANK(GRUPE!#REF!),ISBLANK(GRUPE!#REF!)),0,1)</f>
        <v>1</v>
      </c>
      <c r="B33" s="293" t="e">
        <f>IF(AND($A33=1,GRUPE!#REF!&gt;GRUPE!#REF!),1,0)</f>
        <v>#REF!</v>
      </c>
      <c r="C33" s="293" t="e">
        <f>IF(AND($A33=1,GRUPE!#REF!=GRUPE!#REF!),1,0)</f>
        <v>#REF!</v>
      </c>
      <c r="D33" s="293" t="e">
        <f>IF(AND($A33=1,GRUPE!#REF!&lt;GRUPE!#REF!),1,0)</f>
        <v>#REF!</v>
      </c>
      <c r="E33" s="293" t="e">
        <f>IF(VLOOKUP(GRUPE!#REF!,$N$2:$U$19,8,FALSE)=VLOOKUP(GRUPE!#REF!,$N$2:$U$19,8,FALSE),1,0)</f>
        <v>#REF!</v>
      </c>
      <c r="F33" s="294" t="e">
        <f t="shared" si="2"/>
        <v>#REF!</v>
      </c>
      <c r="G33" s="294" t="e">
        <f>IF($E33=1,GRUPE!#REF!-GRUPE!#REF!,0)</f>
        <v>#REF!</v>
      </c>
      <c r="H33" s="294" t="e">
        <f>IF($E33=1,GRUPE!#REF!,0)</f>
        <v>#REF!</v>
      </c>
      <c r="I33" s="287"/>
      <c r="J33" s="287"/>
      <c r="K33" s="298"/>
      <c r="L33" s="298"/>
      <c r="M33" s="298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x14ac:dyDescent="0.2">
      <c r="A34" s="293"/>
      <c r="B34" s="293"/>
      <c r="C34" s="293"/>
      <c r="D34" s="293"/>
      <c r="E34" s="293"/>
      <c r="F34" s="294"/>
      <c r="G34" s="294"/>
      <c r="H34" s="294"/>
      <c r="I34" s="287"/>
      <c r="J34" s="287"/>
      <c r="K34" s="299"/>
      <c r="L34" s="287"/>
      <c r="M34" s="287"/>
      <c r="N34" s="295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1:24" x14ac:dyDescent="0.2">
      <c r="A35" s="293"/>
      <c r="B35" s="293"/>
      <c r="C35" s="293"/>
      <c r="D35" s="293"/>
      <c r="E35" s="293"/>
      <c r="F35" s="294"/>
      <c r="G35" s="294"/>
      <c r="H35" s="294"/>
      <c r="I35" s="287"/>
      <c r="J35" s="287"/>
      <c r="K35" s="299"/>
      <c r="L35" s="287"/>
      <c r="M35" s="287"/>
      <c r="N35" s="296"/>
      <c r="O35" s="287"/>
      <c r="P35" s="287"/>
      <c r="Q35" s="287"/>
      <c r="R35" s="287"/>
      <c r="S35" s="287"/>
      <c r="T35" s="287"/>
      <c r="U35" s="287"/>
      <c r="V35" s="287"/>
      <c r="W35" s="287"/>
      <c r="X35" s="287"/>
    </row>
    <row r="36" spans="1:24" x14ac:dyDescent="0.2">
      <c r="A36" s="293">
        <f>IF(OR(ISBLANK(GRUPE!#REF!),ISBLANK(GRUPE!#REF!)),0,1)</f>
        <v>1</v>
      </c>
      <c r="B36" s="293" t="e">
        <f>IF(AND($A36=1,GRUPE!#REF!&gt;GRUPE!#REF!),1,0)</f>
        <v>#REF!</v>
      </c>
      <c r="C36" s="293" t="e">
        <f>IF(AND($A36=1,GRUPE!#REF!=GRUPE!#REF!),1,0)</f>
        <v>#REF!</v>
      </c>
      <c r="D36" s="293" t="e">
        <f>IF(AND($A36=1,GRUPE!#REF!&lt;GRUPE!#REF!),1,0)</f>
        <v>#REF!</v>
      </c>
      <c r="E36" s="293" t="e">
        <f>IF(VLOOKUP(GRUPE!#REF!,$N$2:$U$19,8,FALSE)=VLOOKUP(GRUPE!#REF!,$N$2:$U$19,8,FALSE),1,0)</f>
        <v>#REF!</v>
      </c>
      <c r="F36" s="294" t="e">
        <f t="shared" ref="F36:F44" si="3">IF($E36=1,2*$B36-2*$D36,0)</f>
        <v>#REF!</v>
      </c>
      <c r="G36" s="294" t="e">
        <f>IF($E36=1,GRUPE!#REF!-GRUPE!#REF!,0)</f>
        <v>#REF!</v>
      </c>
      <c r="H36" s="294" t="e">
        <f>IF($E36=1,GRUPE!#REF!,0)</f>
        <v>#REF!</v>
      </c>
      <c r="I36" s="287"/>
      <c r="J36" s="287"/>
      <c r="K36" s="298"/>
      <c r="L36" s="287"/>
      <c r="M36" s="287"/>
      <c r="N36" s="296"/>
      <c r="O36" s="287"/>
      <c r="P36" s="287"/>
      <c r="Q36" s="287"/>
      <c r="R36" s="287"/>
      <c r="S36" s="287"/>
      <c r="T36" s="287"/>
      <c r="U36" s="287"/>
      <c r="V36" s="287"/>
      <c r="W36" s="287"/>
      <c r="X36" s="287"/>
    </row>
    <row r="37" spans="1:24" x14ac:dyDescent="0.2">
      <c r="A37" s="293">
        <f>IF(OR(ISBLANK(GRUPE!#REF!),ISBLANK(GRUPE!#REF!)),0,1)</f>
        <v>1</v>
      </c>
      <c r="B37" s="293" t="e">
        <f>IF(AND($A37=1,GRUPE!#REF!&gt;GRUPE!#REF!),1,0)</f>
        <v>#REF!</v>
      </c>
      <c r="C37" s="293" t="e">
        <f>IF(AND($A37=1,GRUPE!#REF!=GRUPE!#REF!),1,0)</f>
        <v>#REF!</v>
      </c>
      <c r="D37" s="293" t="e">
        <f>IF(AND($A37=1,GRUPE!#REF!&lt;GRUPE!#REF!),1,0)</f>
        <v>#REF!</v>
      </c>
      <c r="E37" s="293" t="e">
        <f>IF(VLOOKUP(GRUPE!#REF!,$N$2:$U$19,8,FALSE)=VLOOKUP(GRUPE!#REF!,$N$2:$U$19,8,FALSE),1,0)</f>
        <v>#REF!</v>
      </c>
      <c r="F37" s="294" t="e">
        <f t="shared" si="3"/>
        <v>#REF!</v>
      </c>
      <c r="G37" s="294" t="e">
        <f>IF($E37=1,GRUPE!#REF!-GRUPE!#REF!,0)</f>
        <v>#REF!</v>
      </c>
      <c r="H37" s="294" t="e">
        <f>IF($E37=1,GRUPE!#REF!,0)</f>
        <v>#REF!</v>
      </c>
      <c r="I37" s="287"/>
      <c r="J37" s="287"/>
      <c r="K37" s="299"/>
      <c r="L37" s="287"/>
      <c r="M37" s="287"/>
      <c r="N37" s="296"/>
      <c r="O37" s="287"/>
      <c r="P37" s="287"/>
      <c r="Q37" s="287"/>
      <c r="R37" s="287"/>
      <c r="S37" s="287"/>
      <c r="T37" s="287"/>
      <c r="U37" s="287"/>
      <c r="V37" s="287"/>
      <c r="W37" s="287"/>
      <c r="X37" s="287"/>
    </row>
    <row r="38" spans="1:24" x14ac:dyDescent="0.2">
      <c r="A38" s="293">
        <f>IF(OR(ISBLANK(GRUPE!#REF!),ISBLANK(GRUPE!#REF!)),0,1)</f>
        <v>1</v>
      </c>
      <c r="B38" s="293" t="e">
        <f>IF(AND($A38=1,GRUPE!#REF!&gt;GRUPE!#REF!),1,0)</f>
        <v>#REF!</v>
      </c>
      <c r="C38" s="293" t="e">
        <f>IF(AND($A38=1,GRUPE!#REF!=GRUPE!#REF!),1,0)</f>
        <v>#REF!</v>
      </c>
      <c r="D38" s="293" t="e">
        <f>IF(AND($A38=1,GRUPE!#REF!&lt;GRUPE!#REF!),1,0)</f>
        <v>#REF!</v>
      </c>
      <c r="E38" s="293" t="e">
        <f>IF(VLOOKUP(GRUPE!#REF!,$N$2:$U$19,8,FALSE)=VLOOKUP(GRUPE!#REF!,$N$2:$U$19,8,FALSE),1,0)</f>
        <v>#REF!</v>
      </c>
      <c r="F38" s="294" t="e">
        <f t="shared" si="3"/>
        <v>#REF!</v>
      </c>
      <c r="G38" s="294" t="e">
        <f>IF($E38=1,GRUPE!#REF!-GRUPE!#REF!,0)</f>
        <v>#REF!</v>
      </c>
      <c r="H38" s="294" t="e">
        <f>IF($E38=1,GRUPE!#REF!,0)</f>
        <v>#REF!</v>
      </c>
      <c r="I38" s="287"/>
      <c r="J38" s="287"/>
      <c r="K38" s="299"/>
      <c r="L38" s="287"/>
      <c r="M38" s="287"/>
      <c r="N38" s="296"/>
      <c r="O38" s="287"/>
      <c r="P38" s="287"/>
      <c r="Q38" s="287"/>
      <c r="R38" s="287"/>
      <c r="S38" s="287"/>
      <c r="T38" s="287"/>
      <c r="U38" s="287"/>
      <c r="V38" s="287"/>
      <c r="W38" s="287"/>
      <c r="X38" s="287"/>
    </row>
    <row r="39" spans="1:24" x14ac:dyDescent="0.2">
      <c r="A39" s="293">
        <f>IF(OR(ISBLANK(GRUPE!#REF!),ISBLANK(GRUPE!#REF!)),0,1)</f>
        <v>1</v>
      </c>
      <c r="B39" s="293" t="e">
        <f>IF(AND($A39=1,GRUPE!#REF!&gt;GRUPE!#REF!),1,0)</f>
        <v>#REF!</v>
      </c>
      <c r="C39" s="293" t="e">
        <f>IF(AND($A39=1,GRUPE!#REF!=GRUPE!#REF!),1,0)</f>
        <v>#REF!</v>
      </c>
      <c r="D39" s="293" t="e">
        <f>IF(AND($A39=1,GRUPE!#REF!&lt;GRUPE!#REF!),1,0)</f>
        <v>#REF!</v>
      </c>
      <c r="E39" s="293" t="e">
        <f>IF(VLOOKUP(GRUPE!#REF!,$N$2:$U$19,8,FALSE)=VLOOKUP(GRUPE!#REF!,$N$2:$U$19,8,FALSE),1,0)</f>
        <v>#REF!</v>
      </c>
      <c r="F39" s="294" t="e">
        <f t="shared" si="3"/>
        <v>#REF!</v>
      </c>
      <c r="G39" s="294" t="e">
        <f>IF($E39=1,GRUPE!#REF!-GRUPE!#REF!,0)</f>
        <v>#REF!</v>
      </c>
      <c r="H39" s="294" t="e">
        <f>IF($E39=1,GRUPE!#REF!,0)</f>
        <v>#REF!</v>
      </c>
      <c r="I39" s="287"/>
      <c r="J39" s="287"/>
      <c r="K39" s="299"/>
      <c r="L39" s="287"/>
      <c r="M39" s="287"/>
      <c r="N39" s="296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1:24" x14ac:dyDescent="0.2">
      <c r="A40" s="293">
        <f>IF(OR(ISBLANK(GRUPE!#REF!),ISBLANK(GRUPE!#REF!)),0,1)</f>
        <v>1</v>
      </c>
      <c r="B40" s="293" t="e">
        <f>IF(AND($A40=1,GRUPE!#REF!&gt;GRUPE!#REF!),1,0)</f>
        <v>#REF!</v>
      </c>
      <c r="C40" s="293" t="e">
        <f>IF(AND($A40=1,GRUPE!#REF!=GRUPE!#REF!),1,0)</f>
        <v>#REF!</v>
      </c>
      <c r="D40" s="293" t="e">
        <f>IF(AND($A40=1,GRUPE!#REF!&lt;GRUPE!#REF!),1,0)</f>
        <v>#REF!</v>
      </c>
      <c r="E40" s="293" t="e">
        <f>IF(VLOOKUP(GRUPE!#REF!,$N$2:$U$19,8,FALSE)=VLOOKUP(GRUPE!#REF!,$N$2:$U$19,8,FALSE),1,0)</f>
        <v>#REF!</v>
      </c>
      <c r="F40" s="294" t="e">
        <f t="shared" si="3"/>
        <v>#REF!</v>
      </c>
      <c r="G40" s="294" t="e">
        <f>IF($E40=1,GRUPE!#REF!-GRUPE!#REF!,0)</f>
        <v>#REF!</v>
      </c>
      <c r="H40" s="294" t="e">
        <f>IF($E40=1,GRUPE!#REF!,0)</f>
        <v>#REF!</v>
      </c>
      <c r="I40" s="287"/>
      <c r="J40" s="287"/>
      <c r="K40" s="287"/>
      <c r="L40" s="287"/>
      <c r="M40" s="287"/>
      <c r="N40" s="296"/>
      <c r="O40" s="287"/>
      <c r="P40" s="287"/>
      <c r="Q40" s="287"/>
      <c r="R40" s="287"/>
      <c r="S40" s="287"/>
      <c r="T40" s="287"/>
      <c r="U40" s="287"/>
      <c r="V40" s="287"/>
      <c r="W40" s="287"/>
      <c r="X40" s="287"/>
    </row>
    <row r="41" spans="1:24" x14ac:dyDescent="0.2">
      <c r="A41" s="293">
        <f>IF(OR(ISBLANK(GRUPE!#REF!),ISBLANK(GRUPE!#REF!)),0,1)</f>
        <v>1</v>
      </c>
      <c r="B41" s="293" t="e">
        <f>IF(AND($A41=1,GRUPE!#REF!&gt;GRUPE!#REF!),1,0)</f>
        <v>#REF!</v>
      </c>
      <c r="C41" s="293" t="e">
        <f>IF(AND($A41=1,GRUPE!#REF!=GRUPE!#REF!),1,0)</f>
        <v>#REF!</v>
      </c>
      <c r="D41" s="293" t="e">
        <f>IF(AND($A41=1,GRUPE!#REF!&lt;GRUPE!#REF!),1,0)</f>
        <v>#REF!</v>
      </c>
      <c r="E41" s="293" t="e">
        <f>IF(VLOOKUP(GRUPE!#REF!,$N$2:$U$19,8,FALSE)=VLOOKUP(GRUPE!#REF!,$N$2:$U$19,8,FALSE),1,0)</f>
        <v>#REF!</v>
      </c>
      <c r="F41" s="294" t="e">
        <f t="shared" si="3"/>
        <v>#REF!</v>
      </c>
      <c r="G41" s="294" t="e">
        <f>IF($E41=1,GRUPE!#REF!-GRUPE!#REF!,0)</f>
        <v>#REF!</v>
      </c>
      <c r="H41" s="294" t="e">
        <f>IF($E41=1,GRUPE!#REF!,0)</f>
        <v>#REF!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1:24" x14ac:dyDescent="0.2">
      <c r="A42" s="293">
        <f>IF(OR(ISBLANK(GRUPE!#REF!),ISBLANK(GRUPE!#REF!)),0,1)</f>
        <v>1</v>
      </c>
      <c r="B42" s="293" t="e">
        <f>IF(AND($A42=1,GRUPE!#REF!&gt;GRUPE!#REF!),1,0)</f>
        <v>#REF!</v>
      </c>
      <c r="C42" s="293" t="e">
        <f>IF(AND($A42=1,GRUPE!#REF!=GRUPE!#REF!),1,0)</f>
        <v>#REF!</v>
      </c>
      <c r="D42" s="293" t="e">
        <f>IF(AND($A42=1,GRUPE!#REF!&lt;GRUPE!#REF!),1,0)</f>
        <v>#REF!</v>
      </c>
      <c r="E42" s="293" t="e">
        <f>IF(VLOOKUP(GRUPE!#REF!,$N$2:$U$19,8,FALSE)=VLOOKUP(GRUPE!#REF!,$N$2:$U$19,8,FALSE),1,0)</f>
        <v>#REF!</v>
      </c>
      <c r="F42" s="294" t="e">
        <f t="shared" si="3"/>
        <v>#REF!</v>
      </c>
      <c r="G42" s="294" t="e">
        <f>IF($E42=1,GRUPE!#REF!-GRUPE!#REF!,0)</f>
        <v>#REF!</v>
      </c>
      <c r="H42" s="294" t="e">
        <f>IF($E42=1,GRUPE!#REF!,0)</f>
        <v>#REF!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</row>
    <row r="43" spans="1:24" x14ac:dyDescent="0.2">
      <c r="A43" s="293">
        <f>IF(OR(ISBLANK(GRUPE!#REF!),ISBLANK(GRUPE!#REF!)),0,1)</f>
        <v>1</v>
      </c>
      <c r="B43" s="293" t="e">
        <f>IF(AND($A43=1,GRUPE!#REF!&gt;GRUPE!#REF!),1,0)</f>
        <v>#REF!</v>
      </c>
      <c r="C43" s="293" t="e">
        <f>IF(AND($A43=1,GRUPE!#REF!=GRUPE!#REF!),1,0)</f>
        <v>#REF!</v>
      </c>
      <c r="D43" s="293" t="e">
        <f>IF(AND($A43=1,GRUPE!#REF!&lt;GRUPE!#REF!),1,0)</f>
        <v>#REF!</v>
      </c>
      <c r="E43" s="293" t="e">
        <f>IF(VLOOKUP(GRUPE!#REF!,$N$2:$U$19,8,FALSE)=VLOOKUP(GRUPE!#REF!,$N$2:$U$19,8,FALSE),1,0)</f>
        <v>#REF!</v>
      </c>
      <c r="F43" s="294" t="e">
        <f t="shared" si="3"/>
        <v>#REF!</v>
      </c>
      <c r="G43" s="294" t="e">
        <f>IF($E43=1,GRUPE!#REF!-GRUPE!#REF!,0)</f>
        <v>#REF!</v>
      </c>
      <c r="H43" s="294" t="e">
        <f>IF($E43=1,GRUPE!#REF!,0)</f>
        <v>#REF!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</row>
    <row r="44" spans="1:24" x14ac:dyDescent="0.2">
      <c r="A44" s="293">
        <f>IF(OR(ISBLANK(GRUPE!#REF!),ISBLANK(GRUPE!#REF!)),0,1)</f>
        <v>1</v>
      </c>
      <c r="B44" s="293" t="e">
        <f>IF(AND($A44=1,GRUPE!#REF!&gt;GRUPE!#REF!),1,0)</f>
        <v>#REF!</v>
      </c>
      <c r="C44" s="293" t="e">
        <f>IF(AND($A44=1,GRUPE!#REF!=GRUPE!#REF!),1,0)</f>
        <v>#REF!</v>
      </c>
      <c r="D44" s="293" t="e">
        <f>IF(AND($A44=1,GRUPE!#REF!&lt;GRUPE!#REF!),1,0)</f>
        <v>#REF!</v>
      </c>
      <c r="E44" s="293" t="e">
        <f>IF(VLOOKUP(GRUPE!#REF!,$N$2:$U$19,8,FALSE)=VLOOKUP(GRUPE!#REF!,$N$2:$U$19,8,FALSE),1,0)</f>
        <v>#REF!</v>
      </c>
      <c r="F44" s="294" t="e">
        <f t="shared" si="3"/>
        <v>#REF!</v>
      </c>
      <c r="G44" s="294" t="e">
        <f>IF($E44=1,GRUPE!#REF!-GRUPE!#REF!,0)</f>
        <v>#REF!</v>
      </c>
      <c r="H44" s="294" t="e">
        <f>IF($E44=1,GRUPE!#REF!,0)</f>
        <v>#REF!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</row>
    <row r="45" spans="1:24" x14ac:dyDescent="0.2">
      <c r="A45" s="293"/>
      <c r="B45" s="293"/>
      <c r="C45" s="293"/>
      <c r="D45" s="293"/>
      <c r="E45" s="293"/>
      <c r="F45" s="294"/>
      <c r="G45" s="294"/>
      <c r="H45" s="294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</row>
    <row r="46" spans="1:24" x14ac:dyDescent="0.2">
      <c r="A46" s="293"/>
      <c r="B46" s="293"/>
      <c r="C46" s="293"/>
      <c r="D46" s="293"/>
      <c r="E46" s="293"/>
      <c r="F46" s="294"/>
      <c r="G46" s="294"/>
      <c r="H46" s="294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1:24" x14ac:dyDescent="0.2">
      <c r="A47" s="293"/>
      <c r="B47" s="293"/>
      <c r="C47" s="293"/>
      <c r="D47" s="293"/>
      <c r="E47" s="293"/>
      <c r="F47" s="294"/>
      <c r="G47" s="294"/>
      <c r="H47" s="294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</row>
    <row r="48" spans="1:24" x14ac:dyDescent="0.2">
      <c r="A48" s="293"/>
      <c r="B48" s="293"/>
      <c r="C48" s="293"/>
      <c r="D48" s="293"/>
      <c r="E48" s="293"/>
      <c r="F48" s="294"/>
      <c r="G48" s="294"/>
      <c r="H48" s="294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1:24" x14ac:dyDescent="0.2">
      <c r="A49" s="293"/>
      <c r="B49" s="293"/>
      <c r="C49" s="293"/>
      <c r="D49" s="293"/>
      <c r="E49" s="293"/>
      <c r="F49" s="294"/>
      <c r="G49" s="294"/>
      <c r="H49" s="294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4" x14ac:dyDescent="0.2">
      <c r="A50" s="293"/>
      <c r="B50" s="293"/>
      <c r="C50" s="293"/>
      <c r="D50" s="293"/>
      <c r="E50" s="293"/>
      <c r="F50" s="294"/>
      <c r="G50" s="294"/>
      <c r="H50" s="294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</row>
    <row r="51" spans="1:24" x14ac:dyDescent="0.2">
      <c r="A51" s="293"/>
      <c r="B51" s="293"/>
      <c r="C51" s="293"/>
      <c r="D51" s="293"/>
      <c r="E51" s="293"/>
      <c r="F51" s="294"/>
      <c r="G51" s="294"/>
      <c r="H51" s="294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x14ac:dyDescent="0.2">
      <c r="A52" s="293"/>
      <c r="B52" s="293"/>
      <c r="C52" s="293"/>
      <c r="D52" s="293"/>
      <c r="E52" s="293"/>
      <c r="F52" s="294"/>
      <c r="G52" s="294"/>
      <c r="H52" s="294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x14ac:dyDescent="0.2">
      <c r="A53" s="293"/>
      <c r="B53" s="293"/>
      <c r="C53" s="293"/>
      <c r="D53" s="293"/>
      <c r="E53" s="293"/>
      <c r="F53" s="294"/>
      <c r="G53" s="294"/>
      <c r="H53" s="294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x14ac:dyDescent="0.2">
      <c r="A54" s="293"/>
      <c r="B54" s="293"/>
      <c r="C54" s="293"/>
      <c r="D54" s="293"/>
      <c r="E54" s="293"/>
      <c r="F54" s="294"/>
      <c r="G54" s="294"/>
      <c r="H54" s="294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x14ac:dyDescent="0.2">
      <c r="A55" s="293"/>
      <c r="B55" s="293"/>
      <c r="C55" s="293"/>
      <c r="D55" s="293"/>
      <c r="E55" s="293"/>
      <c r="F55" s="294"/>
      <c r="G55" s="294"/>
      <c r="H55" s="294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x14ac:dyDescent="0.2">
      <c r="A56" s="293"/>
      <c r="B56" s="293"/>
      <c r="C56" s="293"/>
      <c r="D56" s="293"/>
      <c r="E56" s="293"/>
      <c r="F56" s="294"/>
      <c r="G56" s="294"/>
      <c r="H56" s="294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x14ac:dyDescent="0.2">
      <c r="A57" s="293"/>
      <c r="B57" s="293"/>
      <c r="C57" s="293"/>
      <c r="D57" s="293"/>
      <c r="E57" s="293"/>
      <c r="F57" s="294"/>
      <c r="G57" s="294"/>
      <c r="H57" s="294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3"/>
      <c r="B58" s="293"/>
      <c r="C58" s="293"/>
      <c r="D58" s="293"/>
      <c r="E58" s="293"/>
      <c r="F58" s="294"/>
      <c r="G58" s="294"/>
      <c r="H58" s="294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x14ac:dyDescent="0.2">
      <c r="A59" s="293"/>
      <c r="B59" s="293"/>
      <c r="C59" s="293"/>
      <c r="D59" s="293"/>
      <c r="E59" s="293"/>
      <c r="F59" s="294"/>
      <c r="G59" s="294"/>
      <c r="H59" s="294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x14ac:dyDescent="0.2">
      <c r="A60" s="293"/>
      <c r="B60" s="293"/>
      <c r="C60" s="293"/>
      <c r="D60" s="293"/>
      <c r="E60" s="293"/>
      <c r="F60" s="294"/>
      <c r="G60" s="294"/>
      <c r="H60" s="294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x14ac:dyDescent="0.2">
      <c r="A61" s="293"/>
      <c r="B61" s="293"/>
      <c r="C61" s="293"/>
      <c r="D61" s="293"/>
      <c r="E61" s="293"/>
      <c r="F61" s="294"/>
      <c r="G61" s="294"/>
      <c r="H61" s="294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x14ac:dyDescent="0.2">
      <c r="A62" s="293"/>
      <c r="B62" s="293"/>
      <c r="C62" s="293"/>
      <c r="D62" s="293"/>
      <c r="E62" s="293"/>
      <c r="F62" s="294"/>
      <c r="G62" s="294"/>
      <c r="H62" s="294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x14ac:dyDescent="0.2">
      <c r="A63" s="293"/>
      <c r="B63" s="293"/>
      <c r="C63" s="293"/>
      <c r="D63" s="293"/>
      <c r="E63" s="293"/>
      <c r="F63" s="294"/>
      <c r="G63" s="294"/>
      <c r="H63" s="294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x14ac:dyDescent="0.2">
      <c r="A64" s="293"/>
      <c r="B64" s="293"/>
      <c r="C64" s="293"/>
      <c r="D64" s="293"/>
      <c r="E64" s="293"/>
      <c r="F64" s="294"/>
      <c r="G64" s="294"/>
      <c r="H64" s="294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x14ac:dyDescent="0.2">
      <c r="A65" s="293"/>
      <c r="B65" s="293"/>
      <c r="C65" s="293"/>
      <c r="D65" s="293"/>
      <c r="E65" s="293"/>
      <c r="F65" s="294"/>
      <c r="G65" s="294"/>
      <c r="H65" s="294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x14ac:dyDescent="0.2">
      <c r="A66" s="293"/>
      <c r="B66" s="293"/>
      <c r="C66" s="293"/>
      <c r="D66" s="293"/>
      <c r="E66" s="293"/>
      <c r="F66" s="294"/>
      <c r="G66" s="294"/>
      <c r="H66" s="294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x14ac:dyDescent="0.2">
      <c r="A67" s="293"/>
      <c r="B67" s="293"/>
      <c r="C67" s="293"/>
      <c r="D67" s="293"/>
      <c r="E67" s="293"/>
      <c r="F67" s="294"/>
      <c r="G67" s="294"/>
      <c r="H67" s="294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x14ac:dyDescent="0.2">
      <c r="A68" s="293"/>
      <c r="B68" s="293"/>
      <c r="C68" s="293"/>
      <c r="D68" s="293"/>
      <c r="E68" s="293"/>
      <c r="F68" s="294"/>
      <c r="G68" s="294"/>
      <c r="H68" s="294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x14ac:dyDescent="0.2">
      <c r="A69" s="293"/>
      <c r="B69" s="293"/>
      <c r="C69" s="293"/>
      <c r="D69" s="293"/>
      <c r="E69" s="293"/>
      <c r="F69" s="294"/>
      <c r="G69" s="294"/>
      <c r="H69" s="294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x14ac:dyDescent="0.2">
      <c r="A70" s="293"/>
      <c r="B70" s="293"/>
      <c r="C70" s="293"/>
      <c r="D70" s="293"/>
      <c r="E70" s="293"/>
      <c r="F70" s="294"/>
      <c r="G70" s="294"/>
      <c r="H70" s="294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x14ac:dyDescent="0.2">
      <c r="A71" s="293"/>
      <c r="B71" s="293"/>
      <c r="C71" s="293"/>
      <c r="D71" s="293"/>
      <c r="E71" s="293"/>
      <c r="F71" s="294"/>
      <c r="G71" s="294"/>
      <c r="H71" s="294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x14ac:dyDescent="0.2">
      <c r="A72" s="293"/>
      <c r="B72" s="293"/>
      <c r="C72" s="293"/>
      <c r="D72" s="293"/>
      <c r="E72" s="293"/>
      <c r="F72" s="294"/>
      <c r="G72" s="294"/>
      <c r="H72" s="294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x14ac:dyDescent="0.2">
      <c r="A73" s="293"/>
      <c r="B73" s="293"/>
      <c r="C73" s="293"/>
      <c r="D73" s="293"/>
      <c r="E73" s="293"/>
      <c r="F73" s="294"/>
      <c r="G73" s="294"/>
      <c r="H73" s="294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x14ac:dyDescent="0.2">
      <c r="A74" s="293"/>
      <c r="B74" s="293"/>
      <c r="C74" s="293"/>
      <c r="D74" s="293"/>
      <c r="E74" s="293"/>
      <c r="F74" s="294"/>
      <c r="G74" s="294"/>
      <c r="H74" s="294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x14ac:dyDescent="0.2">
      <c r="A75" s="293"/>
      <c r="B75" s="293"/>
      <c r="C75" s="293"/>
      <c r="D75" s="293"/>
      <c r="E75" s="293"/>
      <c r="F75" s="294"/>
      <c r="G75" s="294"/>
      <c r="H75" s="294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x14ac:dyDescent="0.2">
      <c r="A76" s="293"/>
      <c r="B76" s="293"/>
      <c r="C76" s="293"/>
      <c r="D76" s="293"/>
      <c r="E76" s="293"/>
      <c r="F76" s="294"/>
      <c r="G76" s="294"/>
      <c r="H76" s="294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x14ac:dyDescent="0.2">
      <c r="A77" s="293"/>
      <c r="B77" s="293"/>
      <c r="C77" s="293"/>
      <c r="D77" s="293"/>
      <c r="E77" s="293"/>
      <c r="F77" s="294"/>
      <c r="G77" s="294"/>
      <c r="H77" s="294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x14ac:dyDescent="0.2">
      <c r="A78" s="293"/>
      <c r="B78" s="293"/>
      <c r="C78" s="293"/>
      <c r="D78" s="293"/>
      <c r="E78" s="293"/>
      <c r="F78" s="294"/>
      <c r="G78" s="294"/>
      <c r="H78" s="294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x14ac:dyDescent="0.2">
      <c r="A79" s="293"/>
      <c r="B79" s="293"/>
      <c r="C79" s="293"/>
      <c r="D79" s="293"/>
      <c r="E79" s="293"/>
      <c r="F79" s="294"/>
      <c r="G79" s="294"/>
      <c r="H79" s="294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x14ac:dyDescent="0.2">
      <c r="A80" s="293"/>
      <c r="B80" s="293"/>
      <c r="C80" s="293"/>
      <c r="D80" s="293"/>
      <c r="E80" s="293"/>
      <c r="F80" s="294"/>
      <c r="G80" s="294"/>
      <c r="H80" s="294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x14ac:dyDescent="0.2">
      <c r="A81" s="293"/>
      <c r="B81" s="293"/>
      <c r="C81" s="293"/>
      <c r="D81" s="293"/>
      <c r="E81" s="293"/>
      <c r="F81" s="294"/>
      <c r="G81" s="294"/>
      <c r="H81" s="294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x14ac:dyDescent="0.2">
      <c r="A82" s="293"/>
      <c r="B82" s="293"/>
      <c r="C82" s="293"/>
      <c r="D82" s="293"/>
      <c r="E82" s="293"/>
      <c r="F82" s="294"/>
      <c r="G82" s="294"/>
      <c r="H82" s="294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3"/>
      <c r="B83" s="293"/>
      <c r="C83" s="293"/>
      <c r="D83" s="293"/>
      <c r="E83" s="293"/>
      <c r="F83" s="294"/>
      <c r="G83" s="294"/>
      <c r="H83" s="294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3"/>
      <c r="B84" s="293"/>
      <c r="C84" s="293"/>
      <c r="D84" s="293"/>
      <c r="E84" s="293"/>
      <c r="F84" s="294"/>
      <c r="G84" s="294"/>
      <c r="H84" s="294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3"/>
      <c r="B85" s="293"/>
      <c r="C85" s="293"/>
      <c r="D85" s="293"/>
      <c r="E85" s="293"/>
      <c r="F85" s="294"/>
      <c r="G85" s="294"/>
      <c r="H85" s="294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x14ac:dyDescent="0.2">
      <c r="A86" s="293"/>
      <c r="B86" s="293"/>
      <c r="C86" s="293"/>
      <c r="D86" s="293"/>
      <c r="E86" s="293"/>
      <c r="F86" s="294"/>
      <c r="G86" s="294"/>
      <c r="H86" s="294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x14ac:dyDescent="0.2">
      <c r="A87" s="293"/>
      <c r="B87" s="293"/>
      <c r="C87" s="293"/>
      <c r="D87" s="293"/>
      <c r="E87" s="293"/>
      <c r="F87" s="294"/>
      <c r="G87" s="294"/>
      <c r="H87" s="294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x14ac:dyDescent="0.2">
      <c r="A88" s="293"/>
      <c r="B88" s="293"/>
      <c r="C88" s="293"/>
      <c r="D88" s="293"/>
      <c r="E88" s="293"/>
      <c r="F88" s="294"/>
      <c r="G88" s="294"/>
      <c r="H88" s="294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x14ac:dyDescent="0.2">
      <c r="A89" s="293"/>
      <c r="B89" s="293"/>
      <c r="C89" s="293"/>
      <c r="D89" s="293"/>
      <c r="E89" s="293"/>
      <c r="F89" s="294"/>
      <c r="G89" s="294"/>
      <c r="H89" s="294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x14ac:dyDescent="0.2">
      <c r="A90" s="293"/>
      <c r="B90" s="293"/>
      <c r="C90" s="293"/>
      <c r="D90" s="293"/>
      <c r="E90" s="293"/>
      <c r="F90" s="294"/>
      <c r="G90" s="294"/>
      <c r="H90" s="294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x14ac:dyDescent="0.2">
      <c r="A91" s="293"/>
      <c r="B91" s="293"/>
      <c r="C91" s="293"/>
      <c r="D91" s="293"/>
      <c r="E91" s="293"/>
      <c r="F91" s="294"/>
      <c r="G91" s="294"/>
      <c r="H91" s="294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x14ac:dyDescent="0.2">
      <c r="A92" s="293"/>
      <c r="B92" s="293"/>
      <c r="C92" s="293"/>
      <c r="D92" s="293"/>
      <c r="E92" s="293"/>
      <c r="F92" s="294"/>
      <c r="G92" s="294"/>
      <c r="H92" s="294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x14ac:dyDescent="0.2">
      <c r="A93" s="293"/>
      <c r="B93" s="293"/>
      <c r="C93" s="293"/>
      <c r="D93" s="293"/>
      <c r="E93" s="293"/>
      <c r="F93" s="294"/>
      <c r="G93" s="294"/>
      <c r="H93" s="294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x14ac:dyDescent="0.2">
      <c r="A94" s="293"/>
      <c r="B94" s="293"/>
      <c r="C94" s="293"/>
      <c r="D94" s="293"/>
      <c r="E94" s="293"/>
      <c r="F94" s="294"/>
      <c r="G94" s="294"/>
      <c r="H94" s="294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x14ac:dyDescent="0.2">
      <c r="A95" s="293"/>
      <c r="B95" s="293"/>
      <c r="C95" s="293"/>
      <c r="D95" s="293"/>
      <c r="E95" s="293"/>
      <c r="F95" s="294"/>
      <c r="G95" s="294"/>
      <c r="H95" s="294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x14ac:dyDescent="0.2">
      <c r="A96" s="293"/>
      <c r="B96" s="293"/>
      <c r="C96" s="293"/>
      <c r="D96" s="293"/>
      <c r="E96" s="293"/>
      <c r="F96" s="294"/>
      <c r="G96" s="294"/>
      <c r="H96" s="294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x14ac:dyDescent="0.2">
      <c r="A97" s="293"/>
      <c r="B97" s="293"/>
      <c r="C97" s="293"/>
      <c r="D97" s="293"/>
      <c r="E97" s="293"/>
      <c r="F97" s="294"/>
      <c r="G97" s="294"/>
      <c r="H97" s="294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x14ac:dyDescent="0.2">
      <c r="A98" s="293"/>
      <c r="B98" s="293"/>
      <c r="C98" s="293"/>
      <c r="D98" s="293"/>
      <c r="E98" s="293"/>
      <c r="F98" s="294"/>
      <c r="G98" s="294"/>
      <c r="H98" s="294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x14ac:dyDescent="0.2">
      <c r="A99" s="293"/>
      <c r="B99" s="293"/>
      <c r="C99" s="293"/>
      <c r="D99" s="293"/>
      <c r="E99" s="293"/>
      <c r="F99" s="294"/>
      <c r="G99" s="294"/>
      <c r="H99" s="294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x14ac:dyDescent="0.2">
      <c r="A100" s="293"/>
      <c r="B100" s="293"/>
      <c r="C100" s="293"/>
      <c r="D100" s="293"/>
      <c r="E100" s="293"/>
      <c r="F100" s="294"/>
      <c r="G100" s="294"/>
      <c r="H100" s="294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x14ac:dyDescent="0.2">
      <c r="A101" s="293"/>
      <c r="B101" s="293"/>
      <c r="C101" s="293"/>
      <c r="D101" s="293"/>
      <c r="E101" s="293"/>
      <c r="F101" s="294"/>
      <c r="G101" s="294"/>
      <c r="H101" s="294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</row>
    <row r="102" spans="1:24" x14ac:dyDescent="0.2">
      <c r="A102" s="293"/>
      <c r="B102" s="293"/>
      <c r="C102" s="293"/>
      <c r="D102" s="293"/>
      <c r="E102" s="293"/>
      <c r="F102" s="294"/>
      <c r="G102" s="294"/>
      <c r="H102" s="294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x14ac:dyDescent="0.2">
      <c r="A103" s="293"/>
      <c r="B103" s="293"/>
      <c r="C103" s="293"/>
      <c r="D103" s="293"/>
      <c r="E103" s="293"/>
      <c r="F103" s="294"/>
      <c r="G103" s="294"/>
      <c r="H103" s="294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x14ac:dyDescent="0.2">
      <c r="A104" s="293"/>
      <c r="B104" s="293"/>
      <c r="C104" s="293"/>
      <c r="D104" s="293"/>
      <c r="E104" s="293"/>
      <c r="F104" s="294"/>
      <c r="G104" s="294"/>
      <c r="H104" s="294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x14ac:dyDescent="0.2">
      <c r="A105" s="293"/>
      <c r="B105" s="293"/>
      <c r="C105" s="293"/>
      <c r="D105" s="293"/>
      <c r="E105" s="293"/>
      <c r="F105" s="294"/>
      <c r="G105" s="294"/>
      <c r="H105" s="294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x14ac:dyDescent="0.2">
      <c r="A106" s="293"/>
      <c r="B106" s="293"/>
      <c r="C106" s="293"/>
      <c r="D106" s="293"/>
      <c r="E106" s="293"/>
      <c r="F106" s="294"/>
      <c r="G106" s="294"/>
      <c r="H106" s="294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x14ac:dyDescent="0.2">
      <c r="A107" s="293"/>
      <c r="B107" s="293"/>
      <c r="C107" s="293"/>
      <c r="D107" s="293"/>
      <c r="E107" s="293"/>
      <c r="F107" s="294"/>
      <c r="G107" s="294"/>
      <c r="H107" s="294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x14ac:dyDescent="0.2">
      <c r="A108" s="293"/>
      <c r="B108" s="293"/>
      <c r="C108" s="293"/>
      <c r="D108" s="293"/>
      <c r="E108" s="293"/>
      <c r="F108" s="294"/>
      <c r="G108" s="294"/>
      <c r="H108" s="294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x14ac:dyDescent="0.2">
      <c r="A109" s="293"/>
      <c r="B109" s="293"/>
      <c r="C109" s="293"/>
      <c r="D109" s="293"/>
      <c r="E109" s="293"/>
      <c r="F109" s="294"/>
      <c r="G109" s="294"/>
      <c r="H109" s="294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x14ac:dyDescent="0.2">
      <c r="A110" s="293"/>
      <c r="B110" s="293"/>
      <c r="C110" s="293"/>
      <c r="D110" s="293"/>
      <c r="E110" s="293"/>
      <c r="F110" s="294"/>
      <c r="G110" s="294"/>
      <c r="H110" s="294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x14ac:dyDescent="0.2">
      <c r="A111" s="293"/>
      <c r="B111" s="293"/>
      <c r="C111" s="293"/>
      <c r="D111" s="293"/>
      <c r="E111" s="293"/>
      <c r="F111" s="294"/>
      <c r="G111" s="294"/>
      <c r="H111" s="294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x14ac:dyDescent="0.2">
      <c r="A112" s="293"/>
      <c r="B112" s="293"/>
      <c r="C112" s="293"/>
      <c r="D112" s="293"/>
      <c r="E112" s="293"/>
      <c r="F112" s="294"/>
      <c r="G112" s="294"/>
      <c r="H112" s="294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x14ac:dyDescent="0.2">
      <c r="A113" s="293"/>
      <c r="B113" s="293"/>
      <c r="C113" s="293"/>
      <c r="D113" s="293"/>
      <c r="E113" s="293"/>
      <c r="F113" s="294"/>
      <c r="G113" s="294"/>
      <c r="H113" s="294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x14ac:dyDescent="0.2">
      <c r="A114" s="293"/>
      <c r="B114" s="293"/>
      <c r="C114" s="293"/>
      <c r="D114" s="293"/>
      <c r="E114" s="293"/>
      <c r="F114" s="294"/>
      <c r="G114" s="294"/>
      <c r="H114" s="294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</row>
    <row r="115" spans="1:24" x14ac:dyDescent="0.2">
      <c r="A115" s="293"/>
      <c r="B115" s="293"/>
      <c r="C115" s="293"/>
      <c r="D115" s="293"/>
      <c r="E115" s="293"/>
      <c r="F115" s="294"/>
      <c r="G115" s="294"/>
      <c r="H115" s="294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x14ac:dyDescent="0.2">
      <c r="A116" s="293"/>
      <c r="B116" s="293"/>
      <c r="C116" s="293"/>
      <c r="D116" s="293"/>
      <c r="E116" s="293"/>
      <c r="F116" s="294"/>
      <c r="G116" s="294"/>
      <c r="H116" s="294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</row>
    <row r="117" spans="1:24" x14ac:dyDescent="0.2">
      <c r="A117" s="293"/>
      <c r="B117" s="293"/>
      <c r="C117" s="293"/>
      <c r="D117" s="293"/>
      <c r="E117" s="293"/>
      <c r="F117" s="294"/>
      <c r="G117" s="294"/>
      <c r="H117" s="294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</row>
    <row r="118" spans="1:24" x14ac:dyDescent="0.2">
      <c r="A118" s="293"/>
      <c r="B118" s="293"/>
      <c r="C118" s="293"/>
      <c r="D118" s="293"/>
      <c r="E118" s="293"/>
      <c r="F118" s="294"/>
      <c r="G118" s="294"/>
      <c r="H118" s="294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x14ac:dyDescent="0.2">
      <c r="A119" s="293"/>
      <c r="B119" s="293"/>
      <c r="C119" s="293"/>
      <c r="D119" s="293"/>
      <c r="E119" s="293"/>
      <c r="F119" s="294"/>
      <c r="G119" s="294"/>
      <c r="H119" s="294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</row>
    <row r="120" spans="1:24" x14ac:dyDescent="0.2">
      <c r="A120" s="293"/>
      <c r="B120" s="293"/>
      <c r="C120" s="293"/>
      <c r="D120" s="293"/>
      <c r="E120" s="293"/>
      <c r="F120" s="294"/>
      <c r="G120" s="294"/>
      <c r="H120" s="294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x14ac:dyDescent="0.2">
      <c r="A121" s="293"/>
      <c r="B121" s="293"/>
      <c r="C121" s="293"/>
      <c r="D121" s="293"/>
      <c r="E121" s="293"/>
      <c r="F121" s="294"/>
      <c r="G121" s="294"/>
      <c r="H121" s="294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</row>
    <row r="122" spans="1:24" x14ac:dyDescent="0.2">
      <c r="A122" s="293"/>
      <c r="B122" s="293"/>
      <c r="C122" s="293"/>
      <c r="D122" s="293"/>
      <c r="E122" s="293"/>
      <c r="F122" s="294"/>
      <c r="G122" s="294"/>
      <c r="H122" s="294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</row>
    <row r="123" spans="1:24" x14ac:dyDescent="0.2">
      <c r="A123" s="293"/>
      <c r="B123" s="293"/>
      <c r="C123" s="293"/>
      <c r="D123" s="293"/>
      <c r="E123" s="293"/>
      <c r="F123" s="294"/>
      <c r="G123" s="294"/>
      <c r="H123" s="294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x14ac:dyDescent="0.2">
      <c r="A124" s="293"/>
      <c r="B124" s="293"/>
      <c r="C124" s="293"/>
      <c r="D124" s="293"/>
      <c r="E124" s="293"/>
      <c r="F124" s="294"/>
      <c r="G124" s="294"/>
      <c r="H124" s="294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x14ac:dyDescent="0.2">
      <c r="A125" s="293"/>
      <c r="B125" s="293"/>
      <c r="C125" s="293"/>
      <c r="D125" s="293"/>
      <c r="E125" s="293"/>
      <c r="F125" s="294"/>
      <c r="G125" s="294"/>
      <c r="H125" s="294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x14ac:dyDescent="0.2">
      <c r="A126" s="293"/>
      <c r="B126" s="293"/>
      <c r="C126" s="293"/>
      <c r="D126" s="293"/>
      <c r="E126" s="293"/>
      <c r="F126" s="294"/>
      <c r="G126" s="294"/>
      <c r="H126" s="294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x14ac:dyDescent="0.2">
      <c r="A127" s="293"/>
      <c r="B127" s="293"/>
      <c r="C127" s="293"/>
      <c r="D127" s="293"/>
      <c r="E127" s="293"/>
      <c r="F127" s="294"/>
      <c r="G127" s="294"/>
      <c r="H127" s="294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x14ac:dyDescent="0.2">
      <c r="A128" s="293"/>
      <c r="B128" s="293"/>
      <c r="C128" s="293"/>
      <c r="D128" s="293"/>
      <c r="E128" s="293"/>
      <c r="F128" s="294"/>
      <c r="G128" s="294"/>
      <c r="H128" s="294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x14ac:dyDescent="0.2">
      <c r="A129" s="293"/>
      <c r="B129" s="293"/>
      <c r="C129" s="293"/>
      <c r="D129" s="293"/>
      <c r="E129" s="293"/>
      <c r="F129" s="294"/>
      <c r="G129" s="294"/>
      <c r="H129" s="294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x14ac:dyDescent="0.2">
      <c r="A130" s="293"/>
      <c r="B130" s="293"/>
      <c r="C130" s="293"/>
      <c r="D130" s="293"/>
      <c r="E130" s="293"/>
      <c r="F130" s="294"/>
      <c r="G130" s="294"/>
      <c r="H130" s="294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x14ac:dyDescent="0.2">
      <c r="A131" s="293"/>
      <c r="B131" s="293"/>
      <c r="C131" s="293"/>
      <c r="D131" s="293"/>
      <c r="E131" s="293"/>
      <c r="F131" s="294"/>
      <c r="G131" s="294"/>
      <c r="H131" s="294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x14ac:dyDescent="0.2">
      <c r="A132" s="293"/>
      <c r="B132" s="293"/>
      <c r="C132" s="293"/>
      <c r="D132" s="293"/>
      <c r="E132" s="293"/>
      <c r="F132" s="294"/>
      <c r="G132" s="294"/>
      <c r="H132" s="294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x14ac:dyDescent="0.2">
      <c r="A133" s="293"/>
      <c r="B133" s="293"/>
      <c r="C133" s="293"/>
      <c r="D133" s="293"/>
      <c r="E133" s="293"/>
      <c r="F133" s="294"/>
      <c r="G133" s="294"/>
      <c r="H133" s="294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x14ac:dyDescent="0.2">
      <c r="A134" s="293"/>
      <c r="B134" s="293"/>
      <c r="C134" s="293"/>
      <c r="D134" s="293"/>
      <c r="E134" s="293"/>
      <c r="F134" s="294"/>
      <c r="G134" s="294"/>
      <c r="H134" s="294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</row>
    <row r="135" spans="1:24" x14ac:dyDescent="0.2">
      <c r="A135" s="293"/>
      <c r="B135" s="293"/>
      <c r="C135" s="293"/>
      <c r="D135" s="293"/>
      <c r="E135" s="293"/>
      <c r="F135" s="294"/>
      <c r="G135" s="294"/>
      <c r="H135" s="294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x14ac:dyDescent="0.2">
      <c r="A136" s="293"/>
      <c r="B136" s="293"/>
      <c r="C136" s="293"/>
      <c r="D136" s="293"/>
      <c r="E136" s="293"/>
      <c r="F136" s="294"/>
      <c r="G136" s="294"/>
      <c r="H136" s="294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x14ac:dyDescent="0.2">
      <c r="A137" s="293"/>
      <c r="B137" s="293"/>
      <c r="C137" s="293"/>
      <c r="D137" s="293"/>
      <c r="E137" s="293"/>
      <c r="F137" s="294"/>
      <c r="G137" s="294"/>
      <c r="H137" s="294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x14ac:dyDescent="0.2">
      <c r="A138" s="293"/>
      <c r="B138" s="293"/>
      <c r="C138" s="293"/>
      <c r="D138" s="293"/>
      <c r="E138" s="293"/>
      <c r="F138" s="294"/>
      <c r="G138" s="294"/>
      <c r="H138" s="294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x14ac:dyDescent="0.2">
      <c r="A139" s="293"/>
      <c r="B139" s="293"/>
      <c r="C139" s="293"/>
      <c r="D139" s="293"/>
      <c r="E139" s="293"/>
      <c r="F139" s="294"/>
      <c r="G139" s="294"/>
      <c r="H139" s="294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x14ac:dyDescent="0.2">
      <c r="A140" s="293"/>
      <c r="B140" s="293"/>
      <c r="C140" s="293"/>
      <c r="D140" s="293"/>
      <c r="E140" s="293"/>
      <c r="F140" s="294"/>
      <c r="G140" s="294"/>
      <c r="H140" s="294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x14ac:dyDescent="0.2">
      <c r="A141" s="293"/>
      <c r="B141" s="293"/>
      <c r="C141" s="293"/>
      <c r="D141" s="293"/>
      <c r="E141" s="293"/>
      <c r="F141" s="294"/>
      <c r="G141" s="294"/>
      <c r="H141" s="294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x14ac:dyDescent="0.2">
      <c r="A142" s="293"/>
      <c r="B142" s="293"/>
      <c r="C142" s="293"/>
      <c r="D142" s="293"/>
      <c r="E142" s="293"/>
      <c r="F142" s="294"/>
      <c r="G142" s="294"/>
      <c r="H142" s="294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x14ac:dyDescent="0.2">
      <c r="A143" s="293"/>
      <c r="B143" s="293"/>
      <c r="C143" s="293"/>
      <c r="D143" s="293"/>
      <c r="E143" s="293"/>
      <c r="F143" s="294"/>
      <c r="G143" s="294"/>
      <c r="H143" s="294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:24" x14ac:dyDescent="0.2">
      <c r="A144" s="293"/>
      <c r="B144" s="293"/>
      <c r="C144" s="293"/>
      <c r="D144" s="293"/>
      <c r="E144" s="293"/>
      <c r="F144" s="294"/>
      <c r="G144" s="294"/>
      <c r="H144" s="294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</row>
    <row r="145" spans="1:24" x14ac:dyDescent="0.2">
      <c r="A145" s="293"/>
      <c r="B145" s="293"/>
      <c r="C145" s="293"/>
      <c r="D145" s="293"/>
      <c r="E145" s="293"/>
      <c r="F145" s="294"/>
      <c r="G145" s="294"/>
      <c r="H145" s="294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</row>
    <row r="146" spans="1:24" x14ac:dyDescent="0.2">
      <c r="A146" s="293"/>
      <c r="B146" s="293"/>
      <c r="C146" s="293"/>
      <c r="D146" s="293"/>
      <c r="E146" s="293"/>
      <c r="F146" s="294"/>
      <c r="G146" s="294"/>
      <c r="H146" s="294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</row>
    <row r="147" spans="1:24" x14ac:dyDescent="0.2">
      <c r="A147" s="293"/>
      <c r="B147" s="293"/>
      <c r="C147" s="293"/>
      <c r="D147" s="293"/>
      <c r="E147" s="293"/>
      <c r="F147" s="294"/>
      <c r="G147" s="294"/>
      <c r="H147" s="294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</row>
    <row r="148" spans="1:24" x14ac:dyDescent="0.2">
      <c r="A148" s="293"/>
      <c r="B148" s="293"/>
      <c r="C148" s="293"/>
      <c r="D148" s="293"/>
      <c r="E148" s="293"/>
      <c r="F148" s="294"/>
      <c r="G148" s="294"/>
      <c r="H148" s="294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</row>
    <row r="149" spans="1:24" x14ac:dyDescent="0.2">
      <c r="A149" s="293"/>
      <c r="B149" s="293"/>
      <c r="C149" s="293"/>
      <c r="D149" s="293"/>
      <c r="E149" s="293"/>
      <c r="F149" s="294"/>
      <c r="G149" s="294"/>
      <c r="H149" s="294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</row>
    <row r="150" spans="1:24" x14ac:dyDescent="0.2">
      <c r="A150" s="293"/>
      <c r="B150" s="293"/>
      <c r="C150" s="293"/>
      <c r="D150" s="293"/>
      <c r="E150" s="293"/>
      <c r="F150" s="294"/>
      <c r="G150" s="294"/>
      <c r="H150" s="294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</row>
    <row r="151" spans="1:24" x14ac:dyDescent="0.2">
      <c r="A151" s="293"/>
      <c r="B151" s="293"/>
      <c r="C151" s="293"/>
      <c r="D151" s="293"/>
      <c r="E151" s="293"/>
      <c r="F151" s="294"/>
      <c r="G151" s="294"/>
      <c r="H151" s="294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</row>
    <row r="152" spans="1:24" x14ac:dyDescent="0.2">
      <c r="A152" s="293"/>
      <c r="B152" s="293"/>
      <c r="C152" s="293"/>
      <c r="D152" s="293"/>
      <c r="E152" s="293"/>
      <c r="F152" s="294"/>
      <c r="G152" s="294"/>
      <c r="H152" s="294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</row>
    <row r="153" spans="1:24" x14ac:dyDescent="0.2">
      <c r="A153" s="293"/>
      <c r="B153" s="293"/>
      <c r="C153" s="293"/>
      <c r="D153" s="293"/>
      <c r="E153" s="293"/>
      <c r="F153" s="294"/>
      <c r="G153" s="294"/>
      <c r="H153" s="294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</row>
    <row r="154" spans="1:24" x14ac:dyDescent="0.2">
      <c r="A154" s="293"/>
      <c r="B154" s="293"/>
      <c r="C154" s="293"/>
      <c r="D154" s="293"/>
      <c r="E154" s="293"/>
      <c r="F154" s="294"/>
      <c r="G154" s="294"/>
      <c r="H154" s="294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</row>
    <row r="155" spans="1:24" x14ac:dyDescent="0.2">
      <c r="A155" s="293"/>
      <c r="B155" s="293"/>
      <c r="C155" s="293"/>
      <c r="D155" s="293"/>
      <c r="E155" s="293"/>
      <c r="F155" s="294"/>
      <c r="G155" s="294"/>
      <c r="H155" s="294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</row>
    <row r="156" spans="1:24" x14ac:dyDescent="0.2">
      <c r="A156" s="293"/>
      <c r="B156" s="293"/>
      <c r="C156" s="293"/>
      <c r="D156" s="293"/>
      <c r="E156" s="293"/>
      <c r="F156" s="294"/>
      <c r="G156" s="294"/>
      <c r="H156" s="294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</row>
    <row r="157" spans="1:24" x14ac:dyDescent="0.2">
      <c r="A157" s="293"/>
      <c r="B157" s="293"/>
      <c r="C157" s="293"/>
      <c r="D157" s="293"/>
      <c r="E157" s="293"/>
      <c r="F157" s="294"/>
      <c r="G157" s="294"/>
      <c r="H157" s="294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</row>
    <row r="158" spans="1:24" x14ac:dyDescent="0.2">
      <c r="A158" s="293"/>
      <c r="B158" s="293"/>
      <c r="C158" s="293"/>
      <c r="D158" s="293"/>
      <c r="E158" s="293"/>
      <c r="F158" s="294"/>
      <c r="G158" s="294"/>
      <c r="H158" s="294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</row>
    <row r="159" spans="1:24" x14ac:dyDescent="0.2">
      <c r="A159" s="293"/>
      <c r="B159" s="293"/>
      <c r="C159" s="293"/>
      <c r="D159" s="293"/>
      <c r="E159" s="293"/>
      <c r="F159" s="294"/>
      <c r="G159" s="294"/>
      <c r="H159" s="294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</row>
    <row r="160" spans="1:24" x14ac:dyDescent="0.2">
      <c r="A160" s="293"/>
      <c r="B160" s="293"/>
      <c r="C160" s="293"/>
      <c r="D160" s="293"/>
      <c r="E160" s="293"/>
      <c r="F160" s="294"/>
      <c r="G160" s="294"/>
      <c r="H160" s="294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</row>
    <row r="161" spans="1:24" x14ac:dyDescent="0.2">
      <c r="A161" s="293"/>
      <c r="B161" s="293"/>
      <c r="C161" s="293"/>
      <c r="D161" s="293"/>
      <c r="E161" s="293"/>
      <c r="F161" s="294"/>
      <c r="G161" s="294"/>
      <c r="H161" s="294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</row>
    <row r="162" spans="1:24" x14ac:dyDescent="0.2">
      <c r="A162" s="293"/>
      <c r="B162" s="293"/>
      <c r="C162" s="293"/>
      <c r="D162" s="293"/>
      <c r="E162" s="293"/>
      <c r="F162" s="294"/>
      <c r="G162" s="294"/>
      <c r="H162" s="294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</row>
    <row r="163" spans="1:24" x14ac:dyDescent="0.2">
      <c r="A163" s="293"/>
      <c r="B163" s="293"/>
      <c r="C163" s="293"/>
      <c r="D163" s="293"/>
      <c r="E163" s="293"/>
      <c r="F163" s="294"/>
      <c r="G163" s="294"/>
      <c r="H163" s="294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</row>
    <row r="164" spans="1:24" x14ac:dyDescent="0.2">
      <c r="A164" s="293"/>
      <c r="B164" s="293"/>
      <c r="C164" s="293"/>
      <c r="D164" s="293"/>
      <c r="E164" s="293"/>
      <c r="F164" s="294"/>
      <c r="G164" s="294"/>
      <c r="H164" s="294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</row>
    <row r="165" spans="1:24" x14ac:dyDescent="0.2">
      <c r="A165" s="293"/>
      <c r="B165" s="293"/>
      <c r="C165" s="293"/>
      <c r="D165" s="293"/>
      <c r="E165" s="293"/>
      <c r="F165" s="294"/>
      <c r="G165" s="294"/>
      <c r="H165" s="294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</row>
    <row r="166" spans="1:24" x14ac:dyDescent="0.2">
      <c r="A166" s="293"/>
      <c r="B166" s="293"/>
      <c r="C166" s="293"/>
      <c r="D166" s="293"/>
      <c r="E166" s="293"/>
      <c r="F166" s="294"/>
      <c r="G166" s="294"/>
      <c r="H166" s="294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</row>
    <row r="167" spans="1:24" x14ac:dyDescent="0.2">
      <c r="A167" s="293"/>
      <c r="B167" s="293"/>
      <c r="C167" s="293"/>
      <c r="D167" s="293"/>
      <c r="E167" s="293"/>
      <c r="F167" s="294"/>
      <c r="G167" s="294"/>
      <c r="H167" s="294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</row>
    <row r="168" spans="1:24" x14ac:dyDescent="0.2">
      <c r="A168" s="293"/>
      <c r="B168" s="293"/>
      <c r="C168" s="293"/>
      <c r="D168" s="293"/>
      <c r="E168" s="293"/>
      <c r="F168" s="294"/>
      <c r="G168" s="294"/>
      <c r="H168" s="294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</row>
    <row r="169" spans="1:24" x14ac:dyDescent="0.2">
      <c r="A169" s="293"/>
      <c r="B169" s="293"/>
      <c r="C169" s="293"/>
      <c r="D169" s="293"/>
      <c r="E169" s="293"/>
      <c r="F169" s="294"/>
      <c r="G169" s="294"/>
      <c r="H169" s="294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</row>
    <row r="170" spans="1:24" x14ac:dyDescent="0.2">
      <c r="A170" s="293"/>
      <c r="B170" s="293"/>
      <c r="C170" s="293"/>
      <c r="D170" s="293"/>
      <c r="E170" s="293"/>
      <c r="F170" s="294"/>
      <c r="G170" s="294"/>
      <c r="H170" s="294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</row>
    <row r="171" spans="1:24" x14ac:dyDescent="0.2">
      <c r="A171" s="293"/>
      <c r="B171" s="293"/>
      <c r="C171" s="293"/>
      <c r="D171" s="293"/>
      <c r="E171" s="293"/>
      <c r="F171" s="294"/>
      <c r="G171" s="294"/>
      <c r="H171" s="294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</row>
    <row r="172" spans="1:24" x14ac:dyDescent="0.2">
      <c r="A172" s="293"/>
      <c r="B172" s="293"/>
      <c r="C172" s="293"/>
      <c r="D172" s="293"/>
      <c r="E172" s="293"/>
      <c r="F172" s="294"/>
      <c r="G172" s="294"/>
      <c r="H172" s="294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dataValidations count="1">
    <dataValidation type="list" allowBlank="1" showErrorMessage="1" sqref="N2:N5">
      <formula1>$C$1:$C$24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indexed="14"/>
  </sheetPr>
  <dimension ref="A1:X172"/>
  <sheetViews>
    <sheetView view="pageBreakPreview" topLeftCell="F1" zoomScale="50" zoomScaleSheetLayoutView="50" workbookViewId="0">
      <selection activeCell="K35" sqref="K35"/>
    </sheetView>
  </sheetViews>
  <sheetFormatPr defaultRowHeight="12.75" x14ac:dyDescent="0.2"/>
  <cols>
    <col min="1" max="6" width="9.42578125" customWidth="1"/>
    <col min="7" max="7" width="10.5703125" customWidth="1"/>
    <col min="8" max="8" width="14.85546875" customWidth="1"/>
    <col min="11" max="11" width="19.5703125" customWidth="1"/>
    <col min="14" max="14" width="26.7109375" customWidth="1"/>
    <col min="15" max="16" width="3" customWidth="1"/>
    <col min="17" max="17" width="2.85546875" customWidth="1"/>
    <col min="18" max="21" width="3" customWidth="1"/>
    <col min="22" max="22" width="10.5703125" customWidth="1"/>
    <col min="23" max="23" width="11.85546875" customWidth="1"/>
    <col min="24" max="24" width="12" customWidth="1"/>
    <col min="25" max="25" width="5.5703125" customWidth="1"/>
  </cols>
  <sheetData>
    <row r="1" spans="1:24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403"/>
      <c r="M1" s="403"/>
      <c r="N1" s="287"/>
      <c r="O1" s="288" t="s">
        <v>36</v>
      </c>
      <c r="P1" s="288" t="s">
        <v>11</v>
      </c>
      <c r="Q1" s="288" t="s">
        <v>12</v>
      </c>
      <c r="R1" s="288" t="s">
        <v>13</v>
      </c>
      <c r="S1" s="288" t="s">
        <v>1</v>
      </c>
      <c r="T1" s="288" t="s">
        <v>14</v>
      </c>
      <c r="U1" s="288" t="s">
        <v>10</v>
      </c>
      <c r="V1" s="288" t="s">
        <v>181</v>
      </c>
      <c r="W1" s="288" t="s">
        <v>182</v>
      </c>
      <c r="X1" s="288" t="s">
        <v>183</v>
      </c>
    </row>
    <row r="2" spans="1:24" x14ac:dyDescent="0.2">
      <c r="A2" s="289" t="s">
        <v>36</v>
      </c>
      <c r="B2" s="289" t="s">
        <v>184</v>
      </c>
      <c r="C2" s="289" t="s">
        <v>12</v>
      </c>
      <c r="D2" s="289" t="s">
        <v>185</v>
      </c>
      <c r="E2" s="289" t="s">
        <v>186</v>
      </c>
      <c r="F2" s="289" t="s">
        <v>187</v>
      </c>
      <c r="G2" s="289" t="s">
        <v>188</v>
      </c>
      <c r="H2" s="289" t="s">
        <v>189</v>
      </c>
      <c r="I2" s="287"/>
      <c r="J2" s="287"/>
      <c r="K2" s="290">
        <f>(((($U2*100+$V2)*100+$W2)*100+$X2)*100+$S2)*100+ROW($K$1)-ROW()</f>
        <v>-1</v>
      </c>
      <c r="L2" s="402">
        <f>RANK(K2,$K$2:$K$5)</f>
        <v>1</v>
      </c>
      <c r="M2" s="402"/>
      <c r="N2" t="s">
        <v>198</v>
      </c>
      <c r="O2" s="290">
        <f>SUMIF(GRUPF!$A$5:$A$29,$N2,$A$3:$A$374)+SUMIF(GRUPF!$E$5:$E$29,$N2,$A$3:$A$374)</f>
        <v>0</v>
      </c>
      <c r="P2" s="290">
        <f>SUMIF(GRUPF!$A$5:$A$29,$N2,$B$3:$B$374)+SUMIF(GRUPF!$E$5:$E$29,$N2,$D$3:$D$374)</f>
        <v>0</v>
      </c>
      <c r="Q2" s="290">
        <f>SUMIF(GRUPF!$A$5:$A$29,$N2,$C$3:$C$374)+SUMIF(GRUPF!$E$5:$E$29,$N2,$C$3:$C$374)</f>
        <v>0</v>
      </c>
      <c r="R2" s="290">
        <f>O2-P2-Q2</f>
        <v>0</v>
      </c>
      <c r="S2" s="290">
        <f>SUMIF(GRUPF!$A$5:$A$29,$N2,GRUPF!$B$5:$B$29)+SUMIF(GRUPF!$E$5:$E$29,$N2,GRUPF!$D$5:$D$29)</f>
        <v>0</v>
      </c>
      <c r="T2" s="290">
        <f>SUMIF(GRUPF!$A$5:$A$29,$N2,GRUPF!$D$5:$D$29)+SUMIF(GRUPF!$E$5:$E$29,$N2,GRUPF!$B$5:$B$29)</f>
        <v>0</v>
      </c>
      <c r="U2" s="292">
        <f>P2*3+Q2</f>
        <v>0</v>
      </c>
      <c r="V2" s="290">
        <f>SUMIF(GRUPF!$A$5:$A$29,$N2,$F$3:$F$374)-SUMIF(GRUPF!$E$5:$E$29,$N2,$F$3:$F$374)</f>
        <v>0</v>
      </c>
      <c r="W2" s="290">
        <f>SUMIF(GRUPF!$A$5:$A$29,$N2,$G$3:$G$374)-SUMIF(GRUPF!$E$5:$E$29,$N2,$G$3:$G$374)</f>
        <v>0</v>
      </c>
      <c r="X2" s="290">
        <f>S2-T2</f>
        <v>0</v>
      </c>
    </row>
    <row r="3" spans="1:24" x14ac:dyDescent="0.2">
      <c r="A3" s="293">
        <f>IF(OR(ISBLANK(GRUPF!$B5),ISBLANK(GRUPF!$D5)),0,1)</f>
        <v>1</v>
      </c>
      <c r="B3" s="293">
        <f>IF(AND($A3=1,GRUPF!$B5&gt;GRUPF!$D5),1,0)</f>
        <v>0</v>
      </c>
      <c r="C3" s="293">
        <f>IF(AND($A3=1,GRUPF!$B5=GRUPF!$D5),1,0)</f>
        <v>0</v>
      </c>
      <c r="D3" s="293">
        <f>IF(AND($A3=1,GRUPF!$B5&lt;GRUPF!$D5),1,0)</f>
        <v>1</v>
      </c>
      <c r="E3" s="293" t="e">
        <f>IF(VLOOKUP(GRUPF!$A5,$N$2:$U$19,8,FALSE)=VLOOKUP(GRUPF!$E5,$N$2:$U$19,8,FALSE),1,0)</f>
        <v>#REF!</v>
      </c>
      <c r="F3" s="294" t="e">
        <f t="shared" ref="F3:F11" si="0">IF($E3=1,2*$B3-2*$D3,0)</f>
        <v>#REF!</v>
      </c>
      <c r="G3" s="294" t="e">
        <f>IF($E3=1,GRUPF!$B5-GRUPF!$D5,0)</f>
        <v>#REF!</v>
      </c>
      <c r="H3" s="294" t="e">
        <f>IF($E3=1,GRUPF!$D5,0)</f>
        <v>#REF!</v>
      </c>
      <c r="I3" s="287"/>
      <c r="J3" s="287"/>
      <c r="K3" s="290">
        <f>(((($U3*100+$V3)*100+$W3)*100+$X3)*100+$S3)*100+ROW($K$1)-ROW()</f>
        <v>-2</v>
      </c>
      <c r="L3" s="402">
        <f>RANK(K3,$K$2:$K$5)</f>
        <v>2</v>
      </c>
      <c r="M3" s="402"/>
      <c r="N3" t="s">
        <v>199</v>
      </c>
      <c r="O3" s="290">
        <f>SUMIF(GRUPF!$A$5:$A$29,$N3,$A$3:$A$374)+SUMIF(GRUPF!$E$5:$E$29,$N3,$A$3:$A$374)</f>
        <v>0</v>
      </c>
      <c r="P3" s="290">
        <f>SUMIF(GRUPF!$A$5:$A$29,$N3,$B$3:$B$374)+SUMIF(GRUPF!$E$5:$E$29,$N3,$D$3:$D$374)</f>
        <v>0</v>
      </c>
      <c r="Q3" s="290">
        <f>SUMIF(GRUPF!$A$5:$A$29,$N3,$C$3:$C$374)+SUMIF(GRUPF!$E$5:$E$29,$N3,$C$3:$C$374)</f>
        <v>0</v>
      </c>
      <c r="R3" s="290">
        <f>O3-P3-Q3</f>
        <v>0</v>
      </c>
      <c r="S3" s="290">
        <f>SUMIF(GRUPF!$A$5:$A$29,$N3,GRUPF!$B$5:$B$29)+SUMIF(GRUPF!$E$5:$E$29,$N3,GRUPF!$D$5:$D$29)</f>
        <v>0</v>
      </c>
      <c r="T3" s="290">
        <f>SUMIF(GRUPF!$A$5:$A$29,$N3,GRUPF!$D$5:$D$29)+SUMIF(GRUPF!$E$5:$E$29,$N3,GRUPF!$B$5:$B$29)</f>
        <v>0</v>
      </c>
      <c r="U3" s="292">
        <f>P3*3+Q3</f>
        <v>0</v>
      </c>
      <c r="V3" s="290">
        <f>SUMIF(GRUPF!$A$5:$A$29,$N3,$F$3:$F$374)-SUMIF(GRUPF!$E$5:$E$29,$N3,$F$3:$F$374)</f>
        <v>0</v>
      </c>
      <c r="W3" s="290">
        <f>SUMIF(GRUPF!$A$5:$A$29,$N3,$G$3:$G$374)-SUMIF(GRUPF!$E$5:$E$29,$N3,$G$3:$G$374)</f>
        <v>0</v>
      </c>
      <c r="X3" s="290">
        <f>S3-T3</f>
        <v>0</v>
      </c>
    </row>
    <row r="4" spans="1:24" x14ac:dyDescent="0.2">
      <c r="A4" s="293">
        <f>IF(OR(ISBLANK(GRUPF!$B6),ISBLANK(GRUPF!$D6)),0,1)</f>
        <v>1</v>
      </c>
      <c r="B4" s="293">
        <f>IF(AND($A4=1,GRUPF!$B6&gt;GRUPF!$D6),1,0)</f>
        <v>0</v>
      </c>
      <c r="C4" s="293">
        <f>IF(AND($A4=1,GRUPF!$B6=GRUPF!$D6),1,0)</f>
        <v>0</v>
      </c>
      <c r="D4" s="293">
        <f>IF(AND($A4=1,GRUPF!$B6&lt;GRUPF!$D6),1,0)</f>
        <v>1</v>
      </c>
      <c r="E4" s="293" t="e">
        <f>IF(VLOOKUP(GRUPF!$A6,$N$2:$U$19,8,FALSE)=VLOOKUP(GRUPF!$E6,$N$2:$U$19,8,FALSE),1,0)</f>
        <v>#REF!</v>
      </c>
      <c r="F4" s="294" t="e">
        <f t="shared" si="0"/>
        <v>#REF!</v>
      </c>
      <c r="G4" s="294" t="e">
        <f>IF($E4=1,GRUPF!$B6-GRUPF!$D6,0)</f>
        <v>#REF!</v>
      </c>
      <c r="H4" s="294" t="e">
        <f>IF($E4=1,GRUPF!$D6,0)</f>
        <v>#REF!</v>
      </c>
      <c r="I4" s="287"/>
      <c r="J4" s="287"/>
      <c r="K4" s="290">
        <f>(((($U4*100+$V4)*100+$W4)*100+$X4)*100+$S4)*100+ROW($K$1)-ROW()</f>
        <v>-3</v>
      </c>
      <c r="L4" s="402">
        <f>RANK(K4,$K$2:$K$5)</f>
        <v>3</v>
      </c>
      <c r="M4" s="402"/>
      <c r="N4" t="s">
        <v>200</v>
      </c>
      <c r="O4" s="290">
        <f>SUMIF(GRUPF!$A$5:$A$29,$N4,$A$3:$A$374)+SUMIF(GRUPF!$E$5:$E$29,$N4,$A$3:$A$374)</f>
        <v>0</v>
      </c>
      <c r="P4" s="290">
        <f>SUMIF(GRUPF!$A$5:$A$29,$N4,$B$3:$B$374)+SUMIF(GRUPF!$E$5:$E$29,$N4,$D$3:$D$374)</f>
        <v>0</v>
      </c>
      <c r="Q4" s="290">
        <f>SUMIF(GRUPF!$A$5:$A$29,$N4,$C$3:$C$374)+SUMIF(GRUPF!$E$5:$E$29,$N4,$C$3:$C$374)</f>
        <v>0</v>
      </c>
      <c r="R4" s="290">
        <f>O4-P4-Q4</f>
        <v>0</v>
      </c>
      <c r="S4" s="290">
        <f>SUMIF(GRUPF!$A$5:$A$29,$N4,GRUPF!$B$5:$B$29)+SUMIF(GRUPF!$E$5:$E$29,$N4,GRUPF!$D$5:$D$29)</f>
        <v>0</v>
      </c>
      <c r="T4" s="290">
        <f>SUMIF(GRUPF!$A$5:$A$29,$N4,GRUPF!$D$5:$D$29)+SUMIF(GRUPF!$E$5:$E$29,$N4,GRUPF!$B$5:$B$29)</f>
        <v>0</v>
      </c>
      <c r="U4" s="292">
        <f>P4*3+Q4</f>
        <v>0</v>
      </c>
      <c r="V4" s="290">
        <f>SUMIF(GRUPF!$A$5:$A$29,$N4,$F$3:$F$374)-SUMIF(GRUPF!$E$5:$E$29,$N4,$F$3:$F$374)</f>
        <v>0</v>
      </c>
      <c r="W4" s="290">
        <f>SUMIF(GRUPF!$A$5:$A$29,$N4,$G$3:$G$374)-SUMIF(GRUPF!$E$5:$E$29,$N4,$G$3:$G$374)</f>
        <v>0</v>
      </c>
      <c r="X4" s="290">
        <f>S4-T4</f>
        <v>0</v>
      </c>
    </row>
    <row r="5" spans="1:24" ht="15.75" customHeight="1" x14ac:dyDescent="0.2">
      <c r="A5" s="293">
        <f>IF(OR(ISBLANK(GRUPF!$B7),ISBLANK(GRUPF!$D7)),0,1)</f>
        <v>0</v>
      </c>
      <c r="B5" s="293">
        <f>IF(AND($A5=1,GRUPF!$B7&gt;GRUPF!$D7),1,0)</f>
        <v>0</v>
      </c>
      <c r="C5" s="293">
        <f>IF(AND($A5=1,GRUPF!$B7=GRUPF!$D7),1,0)</f>
        <v>0</v>
      </c>
      <c r="D5" s="293">
        <f>IF(AND($A5=1,GRUPF!$B7&lt;GRUPF!$D7),1,0)</f>
        <v>0</v>
      </c>
      <c r="E5" s="293" t="e">
        <f>IF(VLOOKUP(GRUPF!$A7,$N$2:$U$19,8,FALSE)=VLOOKUP(GRUPF!$E7,$N$2:$U$19,8,FALSE),1,0)</f>
        <v>#N/A</v>
      </c>
      <c r="F5" s="294" t="e">
        <f t="shared" si="0"/>
        <v>#N/A</v>
      </c>
      <c r="G5" s="294" t="e">
        <f>IF($E5=1,GRUPF!$B7-GRUPF!$D7,0)</f>
        <v>#N/A</v>
      </c>
      <c r="H5" s="294" t="e">
        <f>IF($E5=1,GRUPF!$D7,0)</f>
        <v>#N/A</v>
      </c>
      <c r="I5" s="287"/>
      <c r="J5" s="287"/>
      <c r="K5" s="290">
        <f>(((($U5*100+$V5)*100+$W5)*100+$X5)*100+$S5)*100+ROW($K$1)-ROW()</f>
        <v>-4</v>
      </c>
      <c r="L5" s="402">
        <f>RANK(K5,$K$2:$K$5)</f>
        <v>4</v>
      </c>
      <c r="M5" s="402"/>
      <c r="N5" t="s">
        <v>201</v>
      </c>
      <c r="O5" s="290">
        <f>SUMIF(GRUPF!$A$5:$A$29,$N5,$A$3:$A$374)+SUMIF(GRUPF!$E$5:$E$29,$N5,$A$3:$A$374)</f>
        <v>0</v>
      </c>
      <c r="P5" s="290">
        <f>SUMIF(GRUPF!$A$5:$A$29,$N5,$B$3:$B$374)+SUMIF(GRUPF!$E$5:$E$29,$N5,$D$3:$D$374)</f>
        <v>0</v>
      </c>
      <c r="Q5" s="290">
        <f>SUMIF(GRUPF!$A$5:$A$29,$N5,$C$3:$C$374)+SUMIF(GRUPF!$E$5:$E$29,$N5,$C$3:$C$374)</f>
        <v>0</v>
      </c>
      <c r="R5" s="290">
        <f>O5-P5-Q5</f>
        <v>0</v>
      </c>
      <c r="S5" s="290">
        <f>SUMIF(GRUPF!$A$5:$A$29,$N5,GRUPF!$B$5:$B$29)+SUMIF(GRUPF!$E$5:$E$29,$N5,GRUPF!$D$5:$D$29)</f>
        <v>0</v>
      </c>
      <c r="T5" s="290">
        <f>SUMIF(GRUPF!$A$5:$A$29,$N5,GRUPF!$D$5:$D$29)+SUMIF(GRUPF!$E$5:$E$29,$N5,GRUPF!$B$5:$B$29)</f>
        <v>0</v>
      </c>
      <c r="U5" s="292">
        <f>P5*3+Q5</f>
        <v>0</v>
      </c>
      <c r="V5" s="290">
        <f>SUMIF(GRUPF!$A$5:$A$29,$N5,$F$3:$F$374)-SUMIF(GRUPF!$E$5:$E$29,$N5,$F$3:$F$374)</f>
        <v>0</v>
      </c>
      <c r="W5" s="290">
        <f>SUMIF(GRUPF!$A$5:$A$29,$N5,$G$3:$G$374)-SUMIF(GRUPF!$E$5:$E$29,$N5,$G$3:$G$374)</f>
        <v>0</v>
      </c>
      <c r="X5" s="290">
        <f>S5-T5</f>
        <v>0</v>
      </c>
    </row>
    <row r="6" spans="1:24" x14ac:dyDescent="0.2">
      <c r="A6" s="293">
        <f>IF(OR(ISBLANK(GRUPF!$B8),ISBLANK(GRUPF!$D8)),0,1)</f>
        <v>0</v>
      </c>
      <c r="B6" s="293">
        <f>IF(AND($A6=1,GRUPF!$B8&gt;GRUPF!$D8),1,0)</f>
        <v>0</v>
      </c>
      <c r="C6" s="293">
        <f>IF(AND($A6=1,GRUPF!$B8=GRUPF!$D8),1,0)</f>
        <v>0</v>
      </c>
      <c r="D6" s="293">
        <f>IF(AND($A6=1,GRUPF!$B8&lt;GRUPF!$D8),1,0)</f>
        <v>0</v>
      </c>
      <c r="E6" s="293" t="e">
        <f>IF(VLOOKUP(GRUPF!$A8,$N$2:$U$19,8,FALSE)=VLOOKUP(GRUPF!$E8,$N$2:$U$19,8,FALSE),1,0)</f>
        <v>#N/A</v>
      </c>
      <c r="F6" s="294" t="e">
        <f t="shared" si="0"/>
        <v>#N/A</v>
      </c>
      <c r="G6" s="294" t="e">
        <f>IF($E6=1,GRUPF!$B8-GRUPF!$D8,0)</f>
        <v>#N/A</v>
      </c>
      <c r="H6" s="294" t="e">
        <f>IF($E6=1,GRUPF!$D8,0)</f>
        <v>#N/A</v>
      </c>
      <c r="I6" s="287"/>
      <c r="J6" s="287"/>
      <c r="K6" s="290"/>
      <c r="L6" s="402"/>
      <c r="M6" s="402"/>
      <c r="N6" s="291"/>
      <c r="O6" s="290"/>
      <c r="P6" s="290"/>
      <c r="Q6" s="290"/>
      <c r="R6" s="290"/>
      <c r="S6" s="290"/>
      <c r="T6" s="290"/>
      <c r="U6" s="292"/>
      <c r="V6" s="290"/>
      <c r="W6" s="290"/>
      <c r="X6" s="290"/>
    </row>
    <row r="7" spans="1:24" x14ac:dyDescent="0.2">
      <c r="A7" s="293">
        <f>IF(OR(ISBLANK(GRUPF!$B9),ISBLANK(GRUPF!$D9)),0,1)</f>
        <v>0</v>
      </c>
      <c r="B7" s="293">
        <f>IF(AND($A7=1,GRUPF!$B9&gt;GRUPF!$D9),1,0)</f>
        <v>0</v>
      </c>
      <c r="C7" s="293">
        <f>IF(AND($A7=1,GRUPF!$B9=GRUPF!$D9),1,0)</f>
        <v>0</v>
      </c>
      <c r="D7" s="293">
        <f>IF(AND($A7=1,GRUPF!$B9&lt;GRUPF!$D9),1,0)</f>
        <v>0</v>
      </c>
      <c r="E7" s="293" t="e">
        <f>IF(VLOOKUP(GRUPF!$A9,$N$2:$U$19,8,FALSE)=VLOOKUP(GRUPF!$E9,$N$2:$U$19,8,FALSE),1,0)</f>
        <v>#N/A</v>
      </c>
      <c r="F7" s="294" t="e">
        <f t="shared" si="0"/>
        <v>#N/A</v>
      </c>
      <c r="G7" s="294" t="e">
        <f>IF($E7=1,GRUPF!$B9-GRUPF!$D9,0)</f>
        <v>#N/A</v>
      </c>
      <c r="H7" s="294" t="e">
        <f>IF($E7=1,GRUPF!$D9,0)</f>
        <v>#N/A</v>
      </c>
      <c r="I7" s="287"/>
      <c r="J7" s="287"/>
      <c r="K7" s="290"/>
      <c r="L7" s="402"/>
      <c r="M7" s="402"/>
      <c r="N7" s="291"/>
      <c r="O7" s="290"/>
      <c r="P7" s="290"/>
      <c r="Q7" s="290"/>
      <c r="R7" s="290"/>
      <c r="S7" s="290"/>
      <c r="T7" s="290"/>
      <c r="U7" s="292"/>
      <c r="V7" s="290"/>
      <c r="W7" s="290"/>
      <c r="X7" s="290"/>
    </row>
    <row r="8" spans="1:24" x14ac:dyDescent="0.2">
      <c r="A8" s="293">
        <f>IF(OR(ISBLANK(GRUPF!$B10),ISBLANK(GRUPF!$D10)),0,1)</f>
        <v>0</v>
      </c>
      <c r="B8" s="293">
        <f>IF(AND($A8=1,GRUPF!$B10&gt;GRUPF!$D10),1,0)</f>
        <v>0</v>
      </c>
      <c r="C8" s="293">
        <f>IF(AND($A8=1,GRUPF!$B10=GRUPF!$D10),1,0)</f>
        <v>0</v>
      </c>
      <c r="D8" s="293">
        <f>IF(AND($A8=1,GRUPF!$B10&lt;GRUPF!$D10),1,0)</f>
        <v>0</v>
      </c>
      <c r="E8" s="293" t="e">
        <f>IF(VLOOKUP(GRUPF!$A10,$N$2:$U$19,8,FALSE)=VLOOKUP(GRUPF!$E10,$N$2:$U$19,8,FALSE),1,0)</f>
        <v>#N/A</v>
      </c>
      <c r="F8" s="294" t="e">
        <f t="shared" si="0"/>
        <v>#N/A</v>
      </c>
      <c r="G8" s="294" t="e">
        <f>IF($E8=1,GRUPF!$B10-GRUPF!$D10,0)</f>
        <v>#N/A</v>
      </c>
      <c r="H8" s="294" t="e">
        <f>IF($E8=1,GRUPF!$D10,0)</f>
        <v>#N/A</v>
      </c>
      <c r="I8" s="287"/>
      <c r="J8" s="287"/>
      <c r="K8" s="290"/>
      <c r="L8" s="402"/>
      <c r="M8" s="402"/>
      <c r="N8" s="291"/>
      <c r="O8" s="290"/>
      <c r="P8" s="290"/>
      <c r="Q8" s="290"/>
      <c r="R8" s="290"/>
      <c r="S8" s="290"/>
      <c r="T8" s="290"/>
      <c r="U8" s="292"/>
      <c r="V8" s="290"/>
      <c r="W8" s="290"/>
      <c r="X8" s="290"/>
    </row>
    <row r="9" spans="1:24" x14ac:dyDescent="0.2">
      <c r="A9" s="293">
        <f>IF(OR(ISBLANK(GRUPF!$B11),ISBLANK(GRUPF!$D11)),0,1)</f>
        <v>0</v>
      </c>
      <c r="B9" s="293">
        <f>IF(AND($A9=1,GRUPF!$B11&gt;GRUPF!$D11),1,0)</f>
        <v>0</v>
      </c>
      <c r="C9" s="293">
        <f>IF(AND($A9=1,GRUPF!$B11=GRUPF!$D11),1,0)</f>
        <v>0</v>
      </c>
      <c r="D9" s="293">
        <f>IF(AND($A9=1,GRUPF!$B11&lt;GRUPF!$D11),1,0)</f>
        <v>0</v>
      </c>
      <c r="E9" s="293" t="e">
        <f>IF(VLOOKUP(GRUPF!$A11,$N$2:$U$19,8,FALSE)=VLOOKUP(GRUPF!$E11,$N$2:$U$19,8,FALSE),1,0)</f>
        <v>#N/A</v>
      </c>
      <c r="F9" s="294" t="e">
        <f t="shared" si="0"/>
        <v>#N/A</v>
      </c>
      <c r="G9" s="294" t="e">
        <f>IF($E9=1,GRUPF!$B11-GRUPF!$D11,0)</f>
        <v>#N/A</v>
      </c>
      <c r="H9" s="294" t="e">
        <f>IF($E9=1,GRUPF!$D11,0)</f>
        <v>#N/A</v>
      </c>
      <c r="I9" s="287"/>
      <c r="J9" s="287"/>
      <c r="K9" s="290"/>
      <c r="L9" s="402"/>
      <c r="M9" s="402"/>
      <c r="N9" s="291"/>
      <c r="O9" s="290"/>
      <c r="P9" s="290"/>
      <c r="Q9" s="290"/>
      <c r="R9" s="290"/>
      <c r="S9" s="290"/>
      <c r="T9" s="290"/>
      <c r="U9" s="292"/>
      <c r="V9" s="290"/>
      <c r="W9" s="290"/>
      <c r="X9" s="290"/>
    </row>
    <row r="10" spans="1:24" x14ac:dyDescent="0.2">
      <c r="A10" s="293">
        <f>IF(OR(ISBLANK(GRUPF!$B12),ISBLANK(GRUPF!$D12)),0,1)</f>
        <v>0</v>
      </c>
      <c r="B10" s="293">
        <f>IF(AND($A10=1,GRUPF!$B12&gt;GRUPF!$D12),1,0)</f>
        <v>0</v>
      </c>
      <c r="C10" s="293">
        <f>IF(AND($A10=1,GRUPF!$B12=GRUPF!$D12),1,0)</f>
        <v>0</v>
      </c>
      <c r="D10" s="293">
        <f>IF(AND($A10=1,GRUPF!$B12&lt;GRUPF!$D12),1,0)</f>
        <v>0</v>
      </c>
      <c r="E10" s="293" t="e">
        <f>IF(VLOOKUP(GRUPF!$A12,$N$2:$U$19,8,FALSE)=VLOOKUP(GRUPF!$E12,$N$2:$U$19,8,FALSE),1,0)</f>
        <v>#N/A</v>
      </c>
      <c r="F10" s="294" t="e">
        <f t="shared" si="0"/>
        <v>#N/A</v>
      </c>
      <c r="G10" s="294" t="e">
        <f>IF($E10=1,GRUPF!$B12-GRUPF!$D12,0)</f>
        <v>#N/A</v>
      </c>
      <c r="H10" s="294" t="e">
        <f>IF($E10=1,GRUPF!$D12,0)</f>
        <v>#N/A</v>
      </c>
      <c r="I10" s="287"/>
      <c r="J10" s="287"/>
      <c r="K10" s="290"/>
      <c r="L10" s="402"/>
      <c r="M10" s="402"/>
      <c r="N10" s="291"/>
      <c r="O10" s="290"/>
      <c r="P10" s="290"/>
      <c r="Q10" s="290"/>
      <c r="R10" s="290"/>
      <c r="S10" s="290"/>
      <c r="T10" s="290"/>
      <c r="U10" s="292"/>
      <c r="V10" s="290"/>
      <c r="W10" s="290"/>
      <c r="X10" s="290"/>
    </row>
    <row r="11" spans="1:24" x14ac:dyDescent="0.2">
      <c r="A11" s="293">
        <f>IF(OR(ISBLANK(GRUPF!$B13),ISBLANK(GRUPF!$D13)),0,1)</f>
        <v>0</v>
      </c>
      <c r="B11" s="293">
        <f>IF(AND($A11=1,GRUPF!$B13&gt;GRUPF!$D13),1,0)</f>
        <v>0</v>
      </c>
      <c r="C11" s="293">
        <f>IF(AND($A11=1,GRUPF!$B13=GRUPF!$D13),1,0)</f>
        <v>0</v>
      </c>
      <c r="D11" s="293">
        <f>IF(AND($A11=1,GRUPF!$B13&lt;GRUPF!$D13),1,0)</f>
        <v>0</v>
      </c>
      <c r="E11" s="293" t="e">
        <f>IF(VLOOKUP(GRUPF!$A13,$N$2:$U$19,8,FALSE)=VLOOKUP(GRUPF!$E13,$N$2:$U$19,8,FALSE),1,0)</f>
        <v>#N/A</v>
      </c>
      <c r="F11" s="294" t="e">
        <f t="shared" si="0"/>
        <v>#N/A</v>
      </c>
      <c r="G11" s="294" t="e">
        <f>IF($E11=1,GRUPF!$B13-GRUPF!$D13,0)</f>
        <v>#N/A</v>
      </c>
      <c r="H11" s="294" t="e">
        <f>IF($E11=1,GRUPF!$D13,0)</f>
        <v>#N/A</v>
      </c>
      <c r="I11" s="287"/>
      <c r="J11" s="287"/>
      <c r="K11" s="290"/>
      <c r="L11" s="402"/>
      <c r="M11" s="402"/>
      <c r="N11" s="291"/>
      <c r="O11" s="290"/>
      <c r="P11" s="290"/>
      <c r="Q11" s="290"/>
      <c r="R11" s="290"/>
      <c r="S11" s="290"/>
      <c r="T11" s="290"/>
      <c r="U11" s="292"/>
      <c r="V11" s="290"/>
      <c r="W11" s="290"/>
      <c r="X11" s="290"/>
    </row>
    <row r="12" spans="1:24" x14ac:dyDescent="0.2">
      <c r="A12" s="293"/>
      <c r="B12" s="293"/>
      <c r="C12" s="293"/>
      <c r="D12" s="293"/>
      <c r="E12" s="293"/>
      <c r="F12" s="294"/>
      <c r="G12" s="294"/>
      <c r="H12" s="294"/>
      <c r="I12" s="287"/>
      <c r="J12" s="287"/>
      <c r="K12" s="290"/>
      <c r="L12" s="402"/>
      <c r="M12" s="402"/>
      <c r="N12" s="291"/>
      <c r="O12" s="290"/>
      <c r="P12" s="290"/>
      <c r="Q12" s="290"/>
      <c r="R12" s="290"/>
      <c r="S12" s="290"/>
      <c r="T12" s="290"/>
      <c r="U12" s="292"/>
      <c r="V12" s="290"/>
      <c r="W12" s="290"/>
      <c r="X12" s="290"/>
    </row>
    <row r="13" spans="1:24" x14ac:dyDescent="0.2">
      <c r="A13" s="293"/>
      <c r="B13" s="293"/>
      <c r="C13" s="293"/>
      <c r="D13" s="293"/>
      <c r="E13" s="293"/>
      <c r="F13" s="294"/>
      <c r="G13" s="294"/>
      <c r="H13" s="294"/>
      <c r="I13" s="287"/>
      <c r="J13" s="287"/>
      <c r="K13" s="290"/>
      <c r="L13" s="402"/>
      <c r="M13" s="402"/>
      <c r="N13" s="291"/>
      <c r="O13" s="290"/>
      <c r="P13" s="290"/>
      <c r="Q13" s="290"/>
      <c r="R13" s="290"/>
      <c r="S13" s="290"/>
      <c r="T13" s="290"/>
      <c r="U13" s="292"/>
      <c r="V13" s="290"/>
      <c r="W13" s="290"/>
      <c r="X13" s="290"/>
    </row>
    <row r="14" spans="1:24" x14ac:dyDescent="0.2">
      <c r="A14" s="293">
        <f>IF(OR(ISBLANK(GRUPF!$B16),ISBLANK(GRUPF!$D16)),0,1)</f>
        <v>1</v>
      </c>
      <c r="B14" s="293">
        <f>IF(AND($A14=1,GRUPF!$B16&gt;GRUPF!$D16),1,0)</f>
        <v>0</v>
      </c>
      <c r="C14" s="293">
        <f>IF(AND($A14=1,GRUPF!$B16=GRUPF!$D16),1,0)</f>
        <v>0</v>
      </c>
      <c r="D14" s="293">
        <f>IF(AND($A14=1,GRUPF!$B16&lt;GRUPF!$D16),1,0)</f>
        <v>1</v>
      </c>
      <c r="E14" s="293" t="e">
        <f>IF(VLOOKUP(GRUPF!$A16,$N$2:$U$19,8,FALSE)=VLOOKUP(GRUPF!$E16,$N$2:$U$19,8,FALSE),1,0)</f>
        <v>#REF!</v>
      </c>
      <c r="F14" s="294" t="e">
        <f t="shared" ref="F14:F22" si="1">IF($E14=1,2*$B14-2*$D14,0)</f>
        <v>#REF!</v>
      </c>
      <c r="G14" s="294" t="e">
        <f>IF($E14=1,GRUPF!$B16-GRUPF!$D16,0)</f>
        <v>#REF!</v>
      </c>
      <c r="H14" s="294" t="e">
        <f>IF($E14=1,GRUPF!$D16,0)</f>
        <v>#REF!</v>
      </c>
      <c r="I14" s="287"/>
      <c r="J14" s="287"/>
      <c r="K14" s="290"/>
      <c r="L14" s="402"/>
      <c r="M14" s="402"/>
      <c r="N14" s="291"/>
      <c r="O14" s="290"/>
      <c r="P14" s="290"/>
      <c r="Q14" s="290"/>
      <c r="R14" s="290"/>
      <c r="S14" s="290"/>
      <c r="T14" s="290"/>
      <c r="U14" s="292"/>
      <c r="V14" s="290"/>
      <c r="W14" s="290"/>
      <c r="X14" s="290"/>
    </row>
    <row r="15" spans="1:24" x14ac:dyDescent="0.2">
      <c r="A15" s="293">
        <f>IF(OR(ISBLANK(GRUPF!$B17),ISBLANK(GRUPF!$D17)),0,1)</f>
        <v>1</v>
      </c>
      <c r="B15" s="293">
        <f>IF(AND($A15=1,GRUPF!$B17&gt;GRUPF!$D17),1,0)</f>
        <v>0</v>
      </c>
      <c r="C15" s="293">
        <f>IF(AND($A15=1,GRUPF!$B17=GRUPF!$D17),1,0)</f>
        <v>0</v>
      </c>
      <c r="D15" s="293">
        <f>IF(AND($A15=1,GRUPF!$B17&lt;GRUPF!$D17),1,0)</f>
        <v>1</v>
      </c>
      <c r="E15" s="293" t="e">
        <f>IF(VLOOKUP(GRUPF!$A17,$N$2:$U$19,8,FALSE)=VLOOKUP(GRUPF!$E17,$N$2:$U$19,8,FALSE),1,0)</f>
        <v>#REF!</v>
      </c>
      <c r="F15" s="294" t="e">
        <f t="shared" si="1"/>
        <v>#REF!</v>
      </c>
      <c r="G15" s="294" t="e">
        <f>IF($E15=1,GRUPF!$B17-GRUPF!$D17,0)</f>
        <v>#REF!</v>
      </c>
      <c r="H15" s="294" t="e">
        <f>IF($E15=1,GRUPF!$D17,0)</f>
        <v>#REF!</v>
      </c>
      <c r="I15" s="287"/>
      <c r="J15" s="287"/>
      <c r="K15" s="290"/>
      <c r="L15" s="402"/>
      <c r="M15" s="402"/>
      <c r="N15" s="291"/>
      <c r="O15" s="290"/>
      <c r="P15" s="290"/>
      <c r="Q15" s="290"/>
      <c r="R15" s="290"/>
      <c r="S15" s="290"/>
      <c r="T15" s="290"/>
      <c r="U15" s="292"/>
      <c r="V15" s="290"/>
      <c r="W15" s="290"/>
      <c r="X15" s="290"/>
    </row>
    <row r="16" spans="1:24" x14ac:dyDescent="0.2">
      <c r="A16" s="293">
        <f>IF(OR(ISBLANK(GRUPF!$B18),ISBLANK(GRUPF!$D18)),0,1)</f>
        <v>0</v>
      </c>
      <c r="B16" s="293">
        <f>IF(AND($A16=1,GRUPF!$B18&gt;GRUPF!$D18),1,0)</f>
        <v>0</v>
      </c>
      <c r="C16" s="293">
        <f>IF(AND($A16=1,GRUPF!$B18=GRUPF!$D18),1,0)</f>
        <v>0</v>
      </c>
      <c r="D16" s="293">
        <f>IF(AND($A16=1,GRUPF!$B18&lt;GRUPF!$D18),1,0)</f>
        <v>0</v>
      </c>
      <c r="E16" s="293" t="e">
        <f>IF(VLOOKUP(GRUPF!$A18,$N$2:$U$19,8,FALSE)=VLOOKUP(GRUPF!$E18,$N$2:$U$19,8,FALSE),1,0)</f>
        <v>#N/A</v>
      </c>
      <c r="F16" s="294" t="e">
        <f t="shared" si="1"/>
        <v>#N/A</v>
      </c>
      <c r="G16" s="294" t="e">
        <f>IF($E16=1,GRUPF!$B18-GRUPF!$D18,0)</f>
        <v>#N/A</v>
      </c>
      <c r="H16" s="294" t="e">
        <f>IF($E16=1,GRUPF!$D18,0)</f>
        <v>#N/A</v>
      </c>
      <c r="I16" s="287"/>
      <c r="J16" s="287"/>
      <c r="K16" s="290"/>
      <c r="L16" s="402"/>
      <c r="M16" s="402"/>
      <c r="N16" s="291"/>
      <c r="O16" s="290"/>
      <c r="P16" s="290"/>
      <c r="Q16" s="290"/>
      <c r="R16" s="290"/>
      <c r="S16" s="290"/>
      <c r="T16" s="290"/>
      <c r="U16" s="292"/>
      <c r="V16" s="290"/>
      <c r="W16" s="290"/>
      <c r="X16" s="290"/>
    </row>
    <row r="17" spans="1:24" x14ac:dyDescent="0.2">
      <c r="A17" s="293">
        <f>IF(OR(ISBLANK(GRUPF!$B19),ISBLANK(GRUPF!$D19)),0,1)</f>
        <v>0</v>
      </c>
      <c r="B17" s="293">
        <f>IF(AND($A17=1,GRUPF!$B19&gt;GRUPF!$D19),1,0)</f>
        <v>0</v>
      </c>
      <c r="C17" s="293">
        <f>IF(AND($A17=1,GRUPF!$B19=GRUPF!$D19),1,0)</f>
        <v>0</v>
      </c>
      <c r="D17" s="293">
        <f>IF(AND($A17=1,GRUPF!$B19&lt;GRUPF!$D19),1,0)</f>
        <v>0</v>
      </c>
      <c r="E17" s="293" t="e">
        <f>IF(VLOOKUP(GRUPF!$A19,$N$2:$U$19,8,FALSE)=VLOOKUP(GRUPF!$E19,$N$2:$U$19,8,FALSE),1,0)</f>
        <v>#N/A</v>
      </c>
      <c r="F17" s="294" t="e">
        <f t="shared" si="1"/>
        <v>#N/A</v>
      </c>
      <c r="G17" s="294" t="e">
        <f>IF($E17=1,GRUPF!$B19-GRUPF!$D19,0)</f>
        <v>#N/A</v>
      </c>
      <c r="H17" s="294" t="e">
        <f>IF($E17=1,GRUPF!$D19,0)</f>
        <v>#N/A</v>
      </c>
      <c r="I17" s="287"/>
      <c r="J17" s="287"/>
      <c r="K17" s="290"/>
      <c r="L17" s="402"/>
      <c r="M17" s="402"/>
      <c r="N17" s="291"/>
      <c r="O17" s="290"/>
      <c r="P17" s="290"/>
      <c r="Q17" s="290"/>
      <c r="R17" s="290"/>
      <c r="S17" s="290"/>
      <c r="T17" s="290"/>
      <c r="U17" s="292"/>
      <c r="V17" s="290"/>
      <c r="W17" s="290"/>
      <c r="X17" s="290"/>
    </row>
    <row r="18" spans="1:24" x14ac:dyDescent="0.2">
      <c r="A18" s="293">
        <f>IF(OR(ISBLANK(GRUPF!$B20),ISBLANK(GRUPF!$D20)),0,1)</f>
        <v>0</v>
      </c>
      <c r="B18" s="293">
        <f>IF(AND($A18=1,GRUPF!$B20&gt;GRUPF!$D20),1,0)</f>
        <v>0</v>
      </c>
      <c r="C18" s="293">
        <f>IF(AND($A18=1,GRUPF!$B20=GRUPF!$D20),1,0)</f>
        <v>0</v>
      </c>
      <c r="D18" s="293">
        <f>IF(AND($A18=1,GRUPF!$B20&lt;GRUPF!$D20),1,0)</f>
        <v>0</v>
      </c>
      <c r="E18" s="293" t="e">
        <f>IF(VLOOKUP(GRUPF!$A20,$N$2:$U$19,8,FALSE)=VLOOKUP(GRUPF!$E20,$N$2:$U$19,8,FALSE),1,0)</f>
        <v>#N/A</v>
      </c>
      <c r="F18" s="294" t="e">
        <f t="shared" si="1"/>
        <v>#N/A</v>
      </c>
      <c r="G18" s="294" t="e">
        <f>IF($E18=1,GRUPF!$B20-GRUPF!$D20,0)</f>
        <v>#N/A</v>
      </c>
      <c r="H18" s="294" t="e">
        <f>IF($E18=1,GRUPF!$D20,0)</f>
        <v>#N/A</v>
      </c>
      <c r="I18" s="287"/>
      <c r="J18" s="287"/>
      <c r="K18" s="290"/>
      <c r="L18" s="402"/>
      <c r="M18" s="402"/>
      <c r="N18" s="291"/>
      <c r="O18" s="290"/>
      <c r="P18" s="290"/>
      <c r="Q18" s="290"/>
      <c r="R18" s="290"/>
      <c r="S18" s="290"/>
      <c r="T18" s="290"/>
      <c r="U18" s="292"/>
      <c r="V18" s="290"/>
      <c r="W18" s="290"/>
      <c r="X18" s="290"/>
    </row>
    <row r="19" spans="1:24" x14ac:dyDescent="0.2">
      <c r="A19" s="293">
        <f>IF(OR(ISBLANK(GRUPF!$B21),ISBLANK(GRUPF!$D21)),0,1)</f>
        <v>0</v>
      </c>
      <c r="B19" s="293">
        <f>IF(AND($A19=1,GRUPF!$B21&gt;GRUPF!$D21),1,0)</f>
        <v>0</v>
      </c>
      <c r="C19" s="293">
        <f>IF(AND($A19=1,GRUPF!$B21=GRUPF!$D21),1,0)</f>
        <v>0</v>
      </c>
      <c r="D19" s="293">
        <f>IF(AND($A19=1,GRUPF!$B21&lt;GRUPF!$D21),1,0)</f>
        <v>0</v>
      </c>
      <c r="E19" s="293" t="e">
        <f>IF(VLOOKUP(GRUPF!$A21,$N$2:$U$19,8,FALSE)=VLOOKUP(GRUPF!$E21,$N$2:$U$19,8,FALSE),1,0)</f>
        <v>#N/A</v>
      </c>
      <c r="F19" s="294" t="e">
        <f t="shared" si="1"/>
        <v>#N/A</v>
      </c>
      <c r="G19" s="294" t="e">
        <f>IF($E19=1,GRUPF!$B21-GRUPF!$D21,0)</f>
        <v>#N/A</v>
      </c>
      <c r="H19" s="294" t="e">
        <f>IF($E19=1,GRUPF!$D21,0)</f>
        <v>#N/A</v>
      </c>
      <c r="I19" s="287"/>
      <c r="J19" s="287"/>
      <c r="K19" s="290"/>
      <c r="L19" s="402"/>
      <c r="M19" s="402"/>
      <c r="N19" s="291"/>
      <c r="O19" s="290"/>
      <c r="P19" s="290"/>
      <c r="Q19" s="290"/>
      <c r="R19" s="290"/>
      <c r="S19" s="290"/>
      <c r="T19" s="290"/>
      <c r="U19" s="292"/>
      <c r="V19" s="290"/>
      <c r="W19" s="290"/>
      <c r="X19" s="290"/>
    </row>
    <row r="20" spans="1:24" x14ac:dyDescent="0.2">
      <c r="A20" s="293">
        <f>IF(OR(ISBLANK(GRUPF!$B22),ISBLANK(GRUPF!$D22)),0,1)</f>
        <v>0</v>
      </c>
      <c r="B20" s="293">
        <f>IF(AND($A20=1,GRUPF!$B22&gt;GRUPF!$D22),1,0)</f>
        <v>0</v>
      </c>
      <c r="C20" s="293">
        <f>IF(AND($A20=1,GRUPF!$B22=GRUPF!$D22),1,0)</f>
        <v>0</v>
      </c>
      <c r="D20" s="293">
        <f>IF(AND($A20=1,GRUPF!$B22&lt;GRUPF!$D22),1,0)</f>
        <v>0</v>
      </c>
      <c r="E20" s="293" t="e">
        <f>IF(VLOOKUP(GRUPF!$A22,$N$2:$U$19,8,FALSE)=VLOOKUP(GRUPF!$E22,$N$2:$U$19,8,FALSE),1,0)</f>
        <v>#N/A</v>
      </c>
      <c r="F20" s="294" t="e">
        <f t="shared" si="1"/>
        <v>#N/A</v>
      </c>
      <c r="G20" s="294" t="e">
        <f>IF($E20=1,GRUPF!$B22-GRUPF!$D22,0)</f>
        <v>#N/A</v>
      </c>
      <c r="H20" s="294" t="e">
        <f>IF($E20=1,GRUPF!$D22,0)</f>
        <v>#N/A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4" x14ac:dyDescent="0.2">
      <c r="A21" s="293">
        <f>IF(OR(ISBLANK(GRUPF!$B23),ISBLANK(GRUPF!$D23)),0,1)</f>
        <v>0</v>
      </c>
      <c r="B21" s="293">
        <f>IF(AND($A21=1,GRUPF!$B23&gt;GRUPF!$D23),1,0)</f>
        <v>0</v>
      </c>
      <c r="C21" s="293">
        <f>IF(AND($A21=1,GRUPF!$B23=GRUPF!$D23),1,0)</f>
        <v>0</v>
      </c>
      <c r="D21" s="293">
        <f>IF(AND($A21=1,GRUPF!$B23&lt;GRUPF!$D23),1,0)</f>
        <v>0</v>
      </c>
      <c r="E21" s="293" t="e">
        <f>IF(VLOOKUP(GRUPF!$A23,$N$2:$U$19,8,FALSE)=VLOOKUP(GRUPF!$E23,$N$2:$U$19,8,FALSE),1,0)</f>
        <v>#N/A</v>
      </c>
      <c r="F21" s="294" t="e">
        <f t="shared" si="1"/>
        <v>#N/A</v>
      </c>
      <c r="G21" s="294" t="e">
        <f>IF($E21=1,GRUPF!$B23-GRUPF!$D23,0)</f>
        <v>#N/A</v>
      </c>
      <c r="H21" s="294" t="e">
        <f>IF($E21=1,GRUPF!$D23,0)</f>
        <v>#N/A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1:24" x14ac:dyDescent="0.2">
      <c r="A22" s="293">
        <f>IF(OR(ISBLANK(GRUPF!$B24),ISBLANK(GRUPF!$D24)),0,1)</f>
        <v>0</v>
      </c>
      <c r="B22" s="293">
        <f>IF(AND($A22=1,GRUPF!$B24&gt;GRUPF!$D24),1,0)</f>
        <v>0</v>
      </c>
      <c r="C22" s="293">
        <f>IF(AND($A22=1,GRUPF!$B24=GRUPF!$D24),1,0)</f>
        <v>0</v>
      </c>
      <c r="D22" s="293">
        <f>IF(AND($A22=1,GRUPF!$B24&lt;GRUPF!$D24),1,0)</f>
        <v>0</v>
      </c>
      <c r="E22" s="293" t="e">
        <f>IF(VLOOKUP(GRUPF!$A24,$N$2:$U$19,8,FALSE)=VLOOKUP(GRUPF!$E24,$N$2:$U$19,8,FALSE),1,0)</f>
        <v>#N/A</v>
      </c>
      <c r="F22" s="294" t="e">
        <f t="shared" si="1"/>
        <v>#N/A</v>
      </c>
      <c r="G22" s="294" t="e">
        <f>IF($E22=1,GRUPF!$B24-GRUPF!$D24,0)</f>
        <v>#N/A</v>
      </c>
      <c r="H22" s="294" t="e">
        <f>IF($E22=1,GRUPF!$D24,0)</f>
        <v>#N/A</v>
      </c>
      <c r="I22" s="287"/>
      <c r="J22" s="287"/>
      <c r="K22" s="287"/>
      <c r="L22" s="287"/>
      <c r="M22" s="287"/>
      <c r="N22" s="295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x14ac:dyDescent="0.2">
      <c r="A23" s="293"/>
      <c r="B23" s="293"/>
      <c r="C23" s="293"/>
      <c r="D23" s="293"/>
      <c r="E23" s="293"/>
      <c r="F23" s="294"/>
      <c r="G23" s="294"/>
      <c r="H23" s="294"/>
      <c r="I23" s="287"/>
      <c r="J23" s="287"/>
      <c r="K23" s="287"/>
      <c r="L23" s="287"/>
      <c r="M23" s="287"/>
      <c r="N23" s="296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x14ac:dyDescent="0.2">
      <c r="A24" s="293"/>
      <c r="B24" s="293"/>
      <c r="C24" s="293"/>
      <c r="D24" s="293"/>
      <c r="E24" s="293"/>
      <c r="F24" s="294"/>
      <c r="G24" s="294"/>
      <c r="H24" s="294"/>
      <c r="I24" s="287"/>
      <c r="J24" s="287"/>
      <c r="K24" s="287"/>
      <c r="L24" s="287"/>
      <c r="M24" s="287"/>
      <c r="N24" s="296"/>
      <c r="O24" s="287"/>
      <c r="P24" s="287"/>
      <c r="Q24" s="287"/>
      <c r="R24" s="287"/>
      <c r="S24" s="287"/>
      <c r="T24" s="287"/>
      <c r="U24" s="287"/>
      <c r="V24" s="287"/>
      <c r="W24" s="297"/>
      <c r="X24" s="287"/>
    </row>
    <row r="25" spans="1:24" x14ac:dyDescent="0.2">
      <c r="A25" s="293">
        <f>IF(OR(ISBLANK(GRUPF!$B27),ISBLANK(GRUPF!$D27)),0,1)</f>
        <v>1</v>
      </c>
      <c r="B25" s="293">
        <f>IF(AND($A25=1,GRUPF!$B27&gt;GRUPF!$D27),1,0)</f>
        <v>0</v>
      </c>
      <c r="C25" s="293">
        <f>IF(AND($A25=1,GRUPF!$B27=GRUPF!$D27),1,0)</f>
        <v>0</v>
      </c>
      <c r="D25" s="293">
        <f>IF(AND($A25=1,GRUPF!$B27&lt;GRUPF!$D27),1,0)</f>
        <v>1</v>
      </c>
      <c r="E25" s="293" t="e">
        <f>IF(VLOOKUP(GRUPF!$A27,$N$2:$U$19,8,FALSE)=VLOOKUP(GRUPF!$E27,$N$2:$U$19,8,FALSE),1,0)</f>
        <v>#REF!</v>
      </c>
      <c r="F25" s="294" t="e">
        <f t="shared" ref="F25:F33" si="2">IF($E25=1,2*$B25-2*$D25,0)</f>
        <v>#REF!</v>
      </c>
      <c r="G25" s="294" t="e">
        <f>IF($E25=1,GRUPF!$B27-GRUPF!$D27,0)</f>
        <v>#REF!</v>
      </c>
      <c r="H25" s="294" t="e">
        <f>IF($E25=1,GRUPF!$D27,0)</f>
        <v>#REF!</v>
      </c>
      <c r="I25" s="287"/>
      <c r="J25" s="287"/>
      <c r="L25" s="298"/>
      <c r="M25" s="298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x14ac:dyDescent="0.2">
      <c r="A26" s="293">
        <f>IF(OR(ISBLANK(GRUPF!$B28),ISBLANK(GRUPF!$D28)),0,1)</f>
        <v>1</v>
      </c>
      <c r="B26" s="293">
        <f>IF(AND($A26=1,GRUPF!$B28&gt;GRUPF!$D28),1,0)</f>
        <v>0</v>
      </c>
      <c r="C26" s="293">
        <f>IF(AND($A26=1,GRUPF!$B28=GRUPF!$D28),1,0)</f>
        <v>0</v>
      </c>
      <c r="D26" s="293">
        <f>IF(AND($A26=1,GRUPF!$B28&lt;GRUPF!$D28),1,0)</f>
        <v>1</v>
      </c>
      <c r="E26" s="293" t="e">
        <f>IF(VLOOKUP(GRUPF!$A28,$N$2:$U$19,8,FALSE)=VLOOKUP(GRUPF!$E28,$N$2:$U$19,8,FALSE),1,0)</f>
        <v>#REF!</v>
      </c>
      <c r="F26" s="294" t="e">
        <f t="shared" si="2"/>
        <v>#REF!</v>
      </c>
      <c r="G26" s="294" t="e">
        <f>IF($E26=1,GRUPF!$B28-GRUPF!$D28,0)</f>
        <v>#REF!</v>
      </c>
      <c r="H26" s="294" t="e">
        <f>IF($E26=1,GRUPF!$D28,0)</f>
        <v>#REF!</v>
      </c>
      <c r="I26" s="287"/>
      <c r="J26" s="287"/>
      <c r="K26" s="298"/>
      <c r="L26" s="298"/>
      <c r="M26" s="298"/>
      <c r="N26" s="299"/>
      <c r="O26" s="287"/>
      <c r="P26" s="287"/>
      <c r="Q26" s="287"/>
      <c r="R26" s="287"/>
      <c r="S26" s="287"/>
      <c r="T26" s="287"/>
      <c r="U26" s="287"/>
      <c r="V26" s="287"/>
      <c r="W26" s="287"/>
      <c r="X26" s="287"/>
    </row>
    <row r="27" spans="1:24" x14ac:dyDescent="0.2">
      <c r="A27" s="293">
        <f>IF(OR(ISBLANK(GRUPF!$B29),ISBLANK(GRUPF!$D29)),0,1)</f>
        <v>0</v>
      </c>
      <c r="B27" s="293">
        <f>IF(AND($A27=1,GRUPF!$B29&gt;GRUPF!$D29),1,0)</f>
        <v>0</v>
      </c>
      <c r="C27" s="293">
        <f>IF(AND($A27=1,GRUPF!$B29=GRUPF!$D29),1,0)</f>
        <v>0</v>
      </c>
      <c r="D27" s="293">
        <f>IF(AND($A27=1,GRUPF!$B29&lt;GRUPF!$D29),1,0)</f>
        <v>0</v>
      </c>
      <c r="E27" s="293" t="e">
        <f>IF(VLOOKUP(GRUPF!$A29,$N$2:$U$19,8,FALSE)=VLOOKUP(GRUPF!$E29,$N$2:$U$19,8,FALSE),1,0)</f>
        <v>#N/A</v>
      </c>
      <c r="F27" s="294" t="e">
        <f t="shared" si="2"/>
        <v>#N/A</v>
      </c>
      <c r="G27" s="294" t="e">
        <f>IF($E27=1,GRUPF!$B29-GRUPF!$D29,0)</f>
        <v>#N/A</v>
      </c>
      <c r="H27" s="294" t="e">
        <f>IF($E27=1,GRUPF!$D29,0)</f>
        <v>#N/A</v>
      </c>
      <c r="I27" s="287"/>
      <c r="J27" s="287"/>
      <c r="K27" s="298"/>
      <c r="L27" s="298"/>
      <c r="M27" s="298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1:24" x14ac:dyDescent="0.2">
      <c r="A28" s="293">
        <f>IF(OR(ISBLANK(GRUPF!#REF!),ISBLANK(GRUPF!#REF!)),0,1)</f>
        <v>1</v>
      </c>
      <c r="B28" s="293" t="e">
        <f>IF(AND($A28=1,GRUPF!#REF!&gt;GRUPF!#REF!),1,0)</f>
        <v>#REF!</v>
      </c>
      <c r="C28" s="293" t="e">
        <f>IF(AND($A28=1,GRUPF!#REF!=GRUPF!#REF!),1,0)</f>
        <v>#REF!</v>
      </c>
      <c r="D28" s="293" t="e">
        <f>IF(AND($A28=1,GRUPF!#REF!&lt;GRUPF!#REF!),1,0)</f>
        <v>#REF!</v>
      </c>
      <c r="E28" s="293" t="e">
        <f>IF(VLOOKUP(GRUPF!#REF!,$N$2:$U$19,8,FALSE)=VLOOKUP(GRUPF!#REF!,$N$2:$U$19,8,FALSE),1,0)</f>
        <v>#REF!</v>
      </c>
      <c r="F28" s="294" t="e">
        <f t="shared" si="2"/>
        <v>#REF!</v>
      </c>
      <c r="G28" s="294" t="e">
        <f>IF($E28=1,GRUPF!#REF!-GRUPF!#REF!,0)</f>
        <v>#REF!</v>
      </c>
      <c r="H28" s="294" t="e">
        <f>IF($E28=1,GRUPF!#REF!,0)</f>
        <v>#REF!</v>
      </c>
      <c r="I28" s="287"/>
      <c r="J28" s="287"/>
      <c r="K28" s="298"/>
      <c r="L28" s="298"/>
      <c r="M28" s="298"/>
      <c r="O28" s="287"/>
      <c r="P28" s="287"/>
      <c r="Q28" s="287"/>
      <c r="R28" s="287"/>
      <c r="S28" s="287"/>
      <c r="T28" s="287"/>
      <c r="U28" s="287"/>
      <c r="V28" s="287"/>
      <c r="W28" s="297"/>
      <c r="X28" s="287"/>
    </row>
    <row r="29" spans="1:24" x14ac:dyDescent="0.2">
      <c r="A29" s="293">
        <f>IF(OR(ISBLANK(GRUPF!#REF!),ISBLANK(GRUPF!#REF!)),0,1)</f>
        <v>1</v>
      </c>
      <c r="B29" s="293" t="e">
        <f>IF(AND($A29=1,GRUPF!#REF!&gt;GRUPF!#REF!),1,0)</f>
        <v>#REF!</v>
      </c>
      <c r="C29" s="293" t="e">
        <f>IF(AND($A29=1,GRUPF!#REF!=GRUPF!#REF!),1,0)</f>
        <v>#REF!</v>
      </c>
      <c r="D29" s="293" t="e">
        <f>IF(AND($A29=1,GRUPF!#REF!&lt;GRUPF!#REF!),1,0)</f>
        <v>#REF!</v>
      </c>
      <c r="E29" s="293" t="e">
        <f>IF(VLOOKUP(GRUPF!#REF!,$N$2:$U$19,8,FALSE)=VLOOKUP(GRUPF!#REF!,$N$2:$U$19,8,FALSE),1,0)</f>
        <v>#REF!</v>
      </c>
      <c r="F29" s="294" t="e">
        <f t="shared" si="2"/>
        <v>#REF!</v>
      </c>
      <c r="G29" s="294" t="e">
        <f>IF($E29=1,GRUPF!#REF!-GRUPF!#REF!,0)</f>
        <v>#REF!</v>
      </c>
      <c r="H29" s="294" t="e">
        <f>IF($E29=1,GRUPF!#REF!,0)</f>
        <v>#REF!</v>
      </c>
      <c r="I29" s="287"/>
      <c r="J29" s="287"/>
      <c r="K29" s="298"/>
      <c r="L29" s="298"/>
      <c r="M29" s="298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1:24" x14ac:dyDescent="0.2">
      <c r="A30" s="293">
        <f>IF(OR(ISBLANK(GRUPF!#REF!),ISBLANK(GRUPF!#REF!)),0,1)</f>
        <v>1</v>
      </c>
      <c r="B30" s="293" t="e">
        <f>IF(AND($A30=1,GRUPF!#REF!&gt;GRUPF!#REF!),1,0)</f>
        <v>#REF!</v>
      </c>
      <c r="C30" s="293" t="e">
        <f>IF(AND($A30=1,GRUPF!#REF!=GRUPF!#REF!),1,0)</f>
        <v>#REF!</v>
      </c>
      <c r="D30" s="293" t="e">
        <f>IF(AND($A30=1,GRUPF!#REF!&lt;GRUPF!#REF!),1,0)</f>
        <v>#REF!</v>
      </c>
      <c r="E30" s="293" t="e">
        <f>IF(VLOOKUP(GRUPF!#REF!,$N$2:$U$19,8,FALSE)=VLOOKUP(GRUPF!#REF!,$N$2:$U$19,8,FALSE),1,0)</f>
        <v>#REF!</v>
      </c>
      <c r="F30" s="294" t="e">
        <f t="shared" si="2"/>
        <v>#REF!</v>
      </c>
      <c r="G30" s="294" t="e">
        <f>IF($E30=1,GRUPF!#REF!-GRUPF!#REF!,0)</f>
        <v>#REF!</v>
      </c>
      <c r="H30" s="294" t="e">
        <f>IF($E30=1,GRUPF!#REF!,0)</f>
        <v>#REF!</v>
      </c>
      <c r="I30" s="287"/>
      <c r="J30" s="287"/>
      <c r="K30" s="298"/>
      <c r="L30" s="298"/>
      <c r="M30" s="298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x14ac:dyDescent="0.2">
      <c r="A31" s="293">
        <f>IF(OR(ISBLANK(GRUPF!#REF!),ISBLANK(GRUPF!#REF!)),0,1)</f>
        <v>1</v>
      </c>
      <c r="B31" s="293" t="e">
        <f>IF(AND($A31=1,GRUPF!#REF!&gt;GRUPF!#REF!),1,0)</f>
        <v>#REF!</v>
      </c>
      <c r="C31" s="293" t="e">
        <f>IF(AND($A31=1,GRUPF!#REF!=GRUPF!#REF!),1,0)</f>
        <v>#REF!</v>
      </c>
      <c r="D31" s="293" t="e">
        <f>IF(AND($A31=1,GRUPF!#REF!&lt;GRUPF!#REF!),1,0)</f>
        <v>#REF!</v>
      </c>
      <c r="E31" s="293" t="e">
        <f>IF(VLOOKUP(GRUPF!#REF!,$N$2:$U$19,8,FALSE)=VLOOKUP(GRUPF!#REF!,$N$2:$U$19,8,FALSE),1,0)</f>
        <v>#REF!</v>
      </c>
      <c r="F31" s="294" t="e">
        <f t="shared" si="2"/>
        <v>#REF!</v>
      </c>
      <c r="G31" s="294" t="e">
        <f>IF($E31=1,GRUPF!#REF!-GRUPF!#REF!,0)</f>
        <v>#REF!</v>
      </c>
      <c r="H31" s="294" t="e">
        <f>IF($E31=1,GRUPF!#REF!,0)</f>
        <v>#REF!</v>
      </c>
      <c r="I31" s="287"/>
      <c r="J31" s="287"/>
      <c r="K31" s="298"/>
      <c r="L31" s="298"/>
      <c r="M31" s="298"/>
      <c r="N31" s="299"/>
      <c r="O31" s="287"/>
      <c r="P31" s="287"/>
      <c r="Q31" s="287"/>
      <c r="R31" s="287"/>
      <c r="S31" s="287"/>
      <c r="T31" s="287"/>
      <c r="U31" s="287"/>
      <c r="V31" s="287"/>
      <c r="W31" s="287"/>
      <c r="X31" s="287"/>
    </row>
    <row r="32" spans="1:24" x14ac:dyDescent="0.2">
      <c r="A32" s="293">
        <f>IF(OR(ISBLANK(GRUPF!#REF!),ISBLANK(GRUPF!#REF!)),0,1)</f>
        <v>1</v>
      </c>
      <c r="B32" s="293" t="e">
        <f>IF(AND($A32=1,GRUPF!#REF!&gt;GRUPF!#REF!),1,0)</f>
        <v>#REF!</v>
      </c>
      <c r="C32" s="293" t="e">
        <f>IF(AND($A32=1,GRUPF!#REF!=GRUPF!#REF!),1,0)</f>
        <v>#REF!</v>
      </c>
      <c r="D32" s="293" t="e">
        <f>IF(AND($A32=1,GRUPF!#REF!&lt;GRUPF!#REF!),1,0)</f>
        <v>#REF!</v>
      </c>
      <c r="E32" s="293" t="e">
        <f>IF(VLOOKUP(GRUPF!#REF!,$N$2:$U$19,8,FALSE)=VLOOKUP(GRUPF!#REF!,$N$2:$U$19,8,FALSE),1,0)</f>
        <v>#REF!</v>
      </c>
      <c r="F32" s="294" t="e">
        <f t="shared" si="2"/>
        <v>#REF!</v>
      </c>
      <c r="G32" s="294" t="e">
        <f>IF($E32=1,GRUPF!#REF!-GRUPF!#REF!,0)</f>
        <v>#REF!</v>
      </c>
      <c r="H32" s="294" t="e">
        <f>IF($E32=1,GRUPF!#REF!,0)</f>
        <v>#REF!</v>
      </c>
      <c r="I32" s="287"/>
      <c r="J32" s="287"/>
      <c r="K32" s="299"/>
      <c r="L32" s="298"/>
      <c r="M32" s="298"/>
      <c r="N32" s="299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1:24" x14ac:dyDescent="0.2">
      <c r="A33" s="293">
        <f>IF(OR(ISBLANK(GRUPF!#REF!),ISBLANK(GRUPF!#REF!)),0,1)</f>
        <v>1</v>
      </c>
      <c r="B33" s="293" t="e">
        <f>IF(AND($A33=1,GRUPF!#REF!&gt;GRUPF!#REF!),1,0)</f>
        <v>#REF!</v>
      </c>
      <c r="C33" s="293" t="e">
        <f>IF(AND($A33=1,GRUPF!#REF!=GRUPF!#REF!),1,0)</f>
        <v>#REF!</v>
      </c>
      <c r="D33" s="293" t="e">
        <f>IF(AND($A33=1,GRUPF!#REF!&lt;GRUPF!#REF!),1,0)</f>
        <v>#REF!</v>
      </c>
      <c r="E33" s="293" t="e">
        <f>IF(VLOOKUP(GRUPF!#REF!,$N$2:$U$19,8,FALSE)=VLOOKUP(GRUPF!#REF!,$N$2:$U$19,8,FALSE),1,0)</f>
        <v>#REF!</v>
      </c>
      <c r="F33" s="294" t="e">
        <f t="shared" si="2"/>
        <v>#REF!</v>
      </c>
      <c r="G33" s="294" t="e">
        <f>IF($E33=1,GRUPF!#REF!-GRUPF!#REF!,0)</f>
        <v>#REF!</v>
      </c>
      <c r="H33" s="294" t="e">
        <f>IF($E33=1,GRUPF!#REF!,0)</f>
        <v>#REF!</v>
      </c>
      <c r="I33" s="287"/>
      <c r="J33" s="287"/>
      <c r="K33" s="298"/>
      <c r="L33" s="298"/>
      <c r="M33" s="298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x14ac:dyDescent="0.2">
      <c r="A34" s="293"/>
      <c r="B34" s="293"/>
      <c r="C34" s="293"/>
      <c r="D34" s="293"/>
      <c r="E34" s="293"/>
      <c r="F34" s="294"/>
      <c r="G34" s="294"/>
      <c r="H34" s="294"/>
      <c r="I34" s="287"/>
      <c r="J34" s="287"/>
      <c r="K34" s="299"/>
      <c r="L34" s="287"/>
      <c r="M34" s="287"/>
      <c r="N34" s="295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1:24" x14ac:dyDescent="0.2">
      <c r="A35" s="293"/>
      <c r="B35" s="293"/>
      <c r="C35" s="293"/>
      <c r="D35" s="293"/>
      <c r="E35" s="293"/>
      <c r="F35" s="294"/>
      <c r="G35" s="294"/>
      <c r="H35" s="294"/>
      <c r="I35" s="287"/>
      <c r="J35" s="287"/>
      <c r="K35" s="299"/>
      <c r="L35" s="287"/>
      <c r="M35" s="287"/>
      <c r="N35" s="296"/>
      <c r="O35" s="287"/>
      <c r="P35" s="287"/>
      <c r="Q35" s="287"/>
      <c r="R35" s="287"/>
      <c r="S35" s="287"/>
      <c r="T35" s="287"/>
      <c r="U35" s="287"/>
      <c r="V35" s="287"/>
      <c r="W35" s="287"/>
      <c r="X35" s="287"/>
    </row>
    <row r="36" spans="1:24" x14ac:dyDescent="0.2">
      <c r="A36" s="293">
        <f>IF(OR(ISBLANK(GRUPF!#REF!),ISBLANK(GRUPF!#REF!)),0,1)</f>
        <v>1</v>
      </c>
      <c r="B36" s="293" t="e">
        <f>IF(AND($A36=1,GRUPF!#REF!&gt;GRUPF!#REF!),1,0)</f>
        <v>#REF!</v>
      </c>
      <c r="C36" s="293" t="e">
        <f>IF(AND($A36=1,GRUPF!#REF!=GRUPF!#REF!),1,0)</f>
        <v>#REF!</v>
      </c>
      <c r="D36" s="293" t="e">
        <f>IF(AND($A36=1,GRUPF!#REF!&lt;GRUPF!#REF!),1,0)</f>
        <v>#REF!</v>
      </c>
      <c r="E36" s="293" t="e">
        <f>IF(VLOOKUP(GRUPF!#REF!,$N$2:$U$19,8,FALSE)=VLOOKUP(GRUPF!#REF!,$N$2:$U$19,8,FALSE),1,0)</f>
        <v>#REF!</v>
      </c>
      <c r="F36" s="294" t="e">
        <f t="shared" ref="F36:F44" si="3">IF($E36=1,2*$B36-2*$D36,0)</f>
        <v>#REF!</v>
      </c>
      <c r="G36" s="294" t="e">
        <f>IF($E36=1,GRUPF!#REF!-GRUPF!#REF!,0)</f>
        <v>#REF!</v>
      </c>
      <c r="H36" s="294" t="e">
        <f>IF($E36=1,GRUPF!#REF!,0)</f>
        <v>#REF!</v>
      </c>
      <c r="I36" s="287"/>
      <c r="J36" s="287"/>
      <c r="K36" s="298"/>
      <c r="L36" s="287"/>
      <c r="M36" s="287"/>
      <c r="N36" s="296"/>
      <c r="O36" s="287"/>
      <c r="P36" s="287"/>
      <c r="Q36" s="287"/>
      <c r="R36" s="287"/>
      <c r="S36" s="287"/>
      <c r="T36" s="287"/>
      <c r="U36" s="287"/>
      <c r="V36" s="287"/>
      <c r="W36" s="287"/>
      <c r="X36" s="287"/>
    </row>
    <row r="37" spans="1:24" x14ac:dyDescent="0.2">
      <c r="A37" s="293">
        <f>IF(OR(ISBLANK(GRUPF!#REF!),ISBLANK(GRUPF!#REF!)),0,1)</f>
        <v>1</v>
      </c>
      <c r="B37" s="293" t="e">
        <f>IF(AND($A37=1,GRUPF!#REF!&gt;GRUPF!#REF!),1,0)</f>
        <v>#REF!</v>
      </c>
      <c r="C37" s="293" t="e">
        <f>IF(AND($A37=1,GRUPF!#REF!=GRUPF!#REF!),1,0)</f>
        <v>#REF!</v>
      </c>
      <c r="D37" s="293" t="e">
        <f>IF(AND($A37=1,GRUPF!#REF!&lt;GRUPF!#REF!),1,0)</f>
        <v>#REF!</v>
      </c>
      <c r="E37" s="293" t="e">
        <f>IF(VLOOKUP(GRUPF!#REF!,$N$2:$U$19,8,FALSE)=VLOOKUP(GRUPF!#REF!,$N$2:$U$19,8,FALSE),1,0)</f>
        <v>#REF!</v>
      </c>
      <c r="F37" s="294" t="e">
        <f t="shared" si="3"/>
        <v>#REF!</v>
      </c>
      <c r="G37" s="294" t="e">
        <f>IF($E37=1,GRUPF!#REF!-GRUPF!#REF!,0)</f>
        <v>#REF!</v>
      </c>
      <c r="H37" s="294" t="e">
        <f>IF($E37=1,GRUPF!#REF!,0)</f>
        <v>#REF!</v>
      </c>
      <c r="I37" s="287"/>
      <c r="J37" s="287"/>
      <c r="K37" s="299"/>
      <c r="L37" s="287"/>
      <c r="M37" s="287"/>
      <c r="N37" s="296"/>
      <c r="O37" s="287"/>
      <c r="P37" s="287"/>
      <c r="Q37" s="287"/>
      <c r="R37" s="287"/>
      <c r="S37" s="287"/>
      <c r="T37" s="287"/>
      <c r="U37" s="287"/>
      <c r="V37" s="287"/>
      <c r="W37" s="287"/>
      <c r="X37" s="287"/>
    </row>
    <row r="38" spans="1:24" x14ac:dyDescent="0.2">
      <c r="A38" s="293">
        <f>IF(OR(ISBLANK(GRUPF!#REF!),ISBLANK(GRUPF!#REF!)),0,1)</f>
        <v>1</v>
      </c>
      <c r="B38" s="293" t="e">
        <f>IF(AND($A38=1,GRUPF!#REF!&gt;GRUPF!#REF!),1,0)</f>
        <v>#REF!</v>
      </c>
      <c r="C38" s="293" t="e">
        <f>IF(AND($A38=1,GRUPF!#REF!=GRUPF!#REF!),1,0)</f>
        <v>#REF!</v>
      </c>
      <c r="D38" s="293" t="e">
        <f>IF(AND($A38=1,GRUPF!#REF!&lt;GRUPF!#REF!),1,0)</f>
        <v>#REF!</v>
      </c>
      <c r="E38" s="293" t="e">
        <f>IF(VLOOKUP(GRUPF!#REF!,$N$2:$U$19,8,FALSE)=VLOOKUP(GRUPF!#REF!,$N$2:$U$19,8,FALSE),1,0)</f>
        <v>#REF!</v>
      </c>
      <c r="F38" s="294" t="e">
        <f t="shared" si="3"/>
        <v>#REF!</v>
      </c>
      <c r="G38" s="294" t="e">
        <f>IF($E38=1,GRUPF!#REF!-GRUPF!#REF!,0)</f>
        <v>#REF!</v>
      </c>
      <c r="H38" s="294" t="e">
        <f>IF($E38=1,GRUPF!#REF!,0)</f>
        <v>#REF!</v>
      </c>
      <c r="I38" s="287"/>
      <c r="J38" s="287"/>
      <c r="K38" s="299"/>
      <c r="L38" s="287"/>
      <c r="M38" s="287"/>
      <c r="N38" s="296"/>
      <c r="O38" s="287"/>
      <c r="P38" s="287"/>
      <c r="Q38" s="287"/>
      <c r="R38" s="287"/>
      <c r="S38" s="287"/>
      <c r="T38" s="287"/>
      <c r="U38" s="287"/>
      <c r="V38" s="287"/>
      <c r="W38" s="287"/>
      <c r="X38" s="287"/>
    </row>
    <row r="39" spans="1:24" x14ac:dyDescent="0.2">
      <c r="A39" s="293">
        <f>IF(OR(ISBLANK(GRUPF!#REF!),ISBLANK(GRUPF!#REF!)),0,1)</f>
        <v>1</v>
      </c>
      <c r="B39" s="293" t="e">
        <f>IF(AND($A39=1,GRUPF!#REF!&gt;GRUPF!#REF!),1,0)</f>
        <v>#REF!</v>
      </c>
      <c r="C39" s="293" t="e">
        <f>IF(AND($A39=1,GRUPF!#REF!=GRUPF!#REF!),1,0)</f>
        <v>#REF!</v>
      </c>
      <c r="D39" s="293" t="e">
        <f>IF(AND($A39=1,GRUPF!#REF!&lt;GRUPF!#REF!),1,0)</f>
        <v>#REF!</v>
      </c>
      <c r="E39" s="293" t="e">
        <f>IF(VLOOKUP(GRUPF!#REF!,$N$2:$U$19,8,FALSE)=VLOOKUP(GRUPF!#REF!,$N$2:$U$19,8,FALSE),1,0)</f>
        <v>#REF!</v>
      </c>
      <c r="F39" s="294" t="e">
        <f t="shared" si="3"/>
        <v>#REF!</v>
      </c>
      <c r="G39" s="294" t="e">
        <f>IF($E39=1,GRUPF!#REF!-GRUPF!#REF!,0)</f>
        <v>#REF!</v>
      </c>
      <c r="H39" s="294" t="e">
        <f>IF($E39=1,GRUPF!#REF!,0)</f>
        <v>#REF!</v>
      </c>
      <c r="I39" s="287"/>
      <c r="J39" s="287"/>
      <c r="K39" s="299"/>
      <c r="L39" s="287"/>
      <c r="M39" s="287"/>
      <c r="N39" s="296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1:24" x14ac:dyDescent="0.2">
      <c r="A40" s="293">
        <f>IF(OR(ISBLANK(GRUPF!#REF!),ISBLANK(GRUPF!#REF!)),0,1)</f>
        <v>1</v>
      </c>
      <c r="B40" s="293" t="e">
        <f>IF(AND($A40=1,GRUPF!#REF!&gt;GRUPF!#REF!),1,0)</f>
        <v>#REF!</v>
      </c>
      <c r="C40" s="293" t="e">
        <f>IF(AND($A40=1,GRUPF!#REF!=GRUPF!#REF!),1,0)</f>
        <v>#REF!</v>
      </c>
      <c r="D40" s="293" t="e">
        <f>IF(AND($A40=1,GRUPF!#REF!&lt;GRUPF!#REF!),1,0)</f>
        <v>#REF!</v>
      </c>
      <c r="E40" s="293" t="e">
        <f>IF(VLOOKUP(GRUPF!#REF!,$N$2:$U$19,8,FALSE)=VLOOKUP(GRUPF!#REF!,$N$2:$U$19,8,FALSE),1,0)</f>
        <v>#REF!</v>
      </c>
      <c r="F40" s="294" t="e">
        <f t="shared" si="3"/>
        <v>#REF!</v>
      </c>
      <c r="G40" s="294" t="e">
        <f>IF($E40=1,GRUPF!#REF!-GRUPF!#REF!,0)</f>
        <v>#REF!</v>
      </c>
      <c r="H40" s="294" t="e">
        <f>IF($E40=1,GRUPF!#REF!,0)</f>
        <v>#REF!</v>
      </c>
      <c r="I40" s="287"/>
      <c r="J40" s="287"/>
      <c r="K40" s="287"/>
      <c r="L40" s="287"/>
      <c r="M40" s="287"/>
      <c r="N40" s="296"/>
      <c r="O40" s="287"/>
      <c r="P40" s="287"/>
      <c r="Q40" s="287"/>
      <c r="R40" s="287"/>
      <c r="S40" s="287"/>
      <c r="T40" s="287"/>
      <c r="U40" s="287"/>
      <c r="V40" s="287"/>
      <c r="W40" s="287"/>
      <c r="X40" s="287"/>
    </row>
    <row r="41" spans="1:24" x14ac:dyDescent="0.2">
      <c r="A41" s="293">
        <f>IF(OR(ISBLANK(GRUPF!#REF!),ISBLANK(GRUPF!#REF!)),0,1)</f>
        <v>1</v>
      </c>
      <c r="B41" s="293" t="e">
        <f>IF(AND($A41=1,GRUPF!#REF!&gt;GRUPF!#REF!),1,0)</f>
        <v>#REF!</v>
      </c>
      <c r="C41" s="293" t="e">
        <f>IF(AND($A41=1,GRUPF!#REF!=GRUPF!#REF!),1,0)</f>
        <v>#REF!</v>
      </c>
      <c r="D41" s="293" t="e">
        <f>IF(AND($A41=1,GRUPF!#REF!&lt;GRUPF!#REF!),1,0)</f>
        <v>#REF!</v>
      </c>
      <c r="E41" s="293" t="e">
        <f>IF(VLOOKUP(GRUPF!#REF!,$N$2:$U$19,8,FALSE)=VLOOKUP(GRUPF!#REF!,$N$2:$U$19,8,FALSE),1,0)</f>
        <v>#REF!</v>
      </c>
      <c r="F41" s="294" t="e">
        <f t="shared" si="3"/>
        <v>#REF!</v>
      </c>
      <c r="G41" s="294" t="e">
        <f>IF($E41=1,GRUPF!#REF!-GRUPF!#REF!,0)</f>
        <v>#REF!</v>
      </c>
      <c r="H41" s="294" t="e">
        <f>IF($E41=1,GRUPF!#REF!,0)</f>
        <v>#REF!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1:24" x14ac:dyDescent="0.2">
      <c r="A42" s="293">
        <f>IF(OR(ISBLANK(GRUPF!#REF!),ISBLANK(GRUPF!#REF!)),0,1)</f>
        <v>1</v>
      </c>
      <c r="B42" s="293" t="e">
        <f>IF(AND($A42=1,GRUPF!#REF!&gt;GRUPF!#REF!),1,0)</f>
        <v>#REF!</v>
      </c>
      <c r="C42" s="293" t="e">
        <f>IF(AND($A42=1,GRUPF!#REF!=GRUPF!#REF!),1,0)</f>
        <v>#REF!</v>
      </c>
      <c r="D42" s="293" t="e">
        <f>IF(AND($A42=1,GRUPF!#REF!&lt;GRUPF!#REF!),1,0)</f>
        <v>#REF!</v>
      </c>
      <c r="E42" s="293" t="e">
        <f>IF(VLOOKUP(GRUPF!#REF!,$N$2:$U$19,8,FALSE)=VLOOKUP(GRUPF!#REF!,$N$2:$U$19,8,FALSE),1,0)</f>
        <v>#REF!</v>
      </c>
      <c r="F42" s="294" t="e">
        <f t="shared" si="3"/>
        <v>#REF!</v>
      </c>
      <c r="G42" s="294" t="e">
        <f>IF($E42=1,GRUPF!#REF!-GRUPF!#REF!,0)</f>
        <v>#REF!</v>
      </c>
      <c r="H42" s="294" t="e">
        <f>IF($E42=1,GRUPF!#REF!,0)</f>
        <v>#REF!</v>
      </c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</row>
    <row r="43" spans="1:24" x14ac:dyDescent="0.2">
      <c r="A43" s="293">
        <f>IF(OR(ISBLANK(GRUPF!#REF!),ISBLANK(GRUPF!#REF!)),0,1)</f>
        <v>1</v>
      </c>
      <c r="B43" s="293" t="e">
        <f>IF(AND($A43=1,GRUPF!#REF!&gt;GRUPF!#REF!),1,0)</f>
        <v>#REF!</v>
      </c>
      <c r="C43" s="293" t="e">
        <f>IF(AND($A43=1,GRUPF!#REF!=GRUPF!#REF!),1,0)</f>
        <v>#REF!</v>
      </c>
      <c r="D43" s="293" t="e">
        <f>IF(AND($A43=1,GRUPF!#REF!&lt;GRUPF!#REF!),1,0)</f>
        <v>#REF!</v>
      </c>
      <c r="E43" s="293" t="e">
        <f>IF(VLOOKUP(GRUPF!#REF!,$N$2:$U$19,8,FALSE)=VLOOKUP(GRUPF!#REF!,$N$2:$U$19,8,FALSE),1,0)</f>
        <v>#REF!</v>
      </c>
      <c r="F43" s="294" t="e">
        <f t="shared" si="3"/>
        <v>#REF!</v>
      </c>
      <c r="G43" s="294" t="e">
        <f>IF($E43=1,GRUPF!#REF!-GRUPF!#REF!,0)</f>
        <v>#REF!</v>
      </c>
      <c r="H43" s="294" t="e">
        <f>IF($E43=1,GRUPF!#REF!,0)</f>
        <v>#REF!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</row>
    <row r="44" spans="1:24" x14ac:dyDescent="0.2">
      <c r="A44" s="293">
        <f>IF(OR(ISBLANK(GRUPF!#REF!),ISBLANK(GRUPF!#REF!)),0,1)</f>
        <v>1</v>
      </c>
      <c r="B44" s="293" t="e">
        <f>IF(AND($A44=1,GRUPF!#REF!&gt;GRUPF!#REF!),1,0)</f>
        <v>#REF!</v>
      </c>
      <c r="C44" s="293" t="e">
        <f>IF(AND($A44=1,GRUPF!#REF!=GRUPF!#REF!),1,0)</f>
        <v>#REF!</v>
      </c>
      <c r="D44" s="293" t="e">
        <f>IF(AND($A44=1,GRUPF!#REF!&lt;GRUPF!#REF!),1,0)</f>
        <v>#REF!</v>
      </c>
      <c r="E44" s="293" t="e">
        <f>IF(VLOOKUP(GRUPF!#REF!,$N$2:$U$19,8,FALSE)=VLOOKUP(GRUPF!#REF!,$N$2:$U$19,8,FALSE),1,0)</f>
        <v>#REF!</v>
      </c>
      <c r="F44" s="294" t="e">
        <f t="shared" si="3"/>
        <v>#REF!</v>
      </c>
      <c r="G44" s="294" t="e">
        <f>IF($E44=1,GRUPF!#REF!-GRUPF!#REF!,0)</f>
        <v>#REF!</v>
      </c>
      <c r="H44" s="294" t="e">
        <f>IF($E44=1,GRUPF!#REF!,0)</f>
        <v>#REF!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</row>
    <row r="45" spans="1:24" x14ac:dyDescent="0.2">
      <c r="A45" s="293"/>
      <c r="B45" s="293"/>
      <c r="C45" s="293"/>
      <c r="D45" s="293"/>
      <c r="E45" s="293"/>
      <c r="F45" s="294"/>
      <c r="G45" s="294"/>
      <c r="H45" s="294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</row>
    <row r="46" spans="1:24" x14ac:dyDescent="0.2">
      <c r="A46" s="293"/>
      <c r="B46" s="293"/>
      <c r="C46" s="293"/>
      <c r="D46" s="293"/>
      <c r="E46" s="293"/>
      <c r="F46" s="294"/>
      <c r="G46" s="294"/>
      <c r="H46" s="294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1:24" x14ac:dyDescent="0.2">
      <c r="A47" s="293"/>
      <c r="B47" s="293"/>
      <c r="C47" s="293"/>
      <c r="D47" s="293"/>
      <c r="E47" s="293"/>
      <c r="F47" s="294"/>
      <c r="G47" s="294"/>
      <c r="H47" s="294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</row>
    <row r="48" spans="1:24" x14ac:dyDescent="0.2">
      <c r="A48" s="293"/>
      <c r="B48" s="293"/>
      <c r="C48" s="293"/>
      <c r="D48" s="293"/>
      <c r="E48" s="293"/>
      <c r="F48" s="294"/>
      <c r="G48" s="294"/>
      <c r="H48" s="294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</row>
    <row r="49" spans="1:24" x14ac:dyDescent="0.2">
      <c r="A49" s="293"/>
      <c r="B49" s="293"/>
      <c r="C49" s="293"/>
      <c r="D49" s="293"/>
      <c r="E49" s="293"/>
      <c r="F49" s="294"/>
      <c r="G49" s="294"/>
      <c r="H49" s="294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</row>
    <row r="50" spans="1:24" x14ac:dyDescent="0.2">
      <c r="A50" s="293"/>
      <c r="B50" s="293"/>
      <c r="C50" s="293"/>
      <c r="D50" s="293"/>
      <c r="E50" s="293"/>
      <c r="F50" s="294"/>
      <c r="G50" s="294"/>
      <c r="H50" s="294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</row>
    <row r="51" spans="1:24" x14ac:dyDescent="0.2">
      <c r="A51" s="293"/>
      <c r="B51" s="293"/>
      <c r="C51" s="293"/>
      <c r="D51" s="293"/>
      <c r="E51" s="293"/>
      <c r="F51" s="294"/>
      <c r="G51" s="294"/>
      <c r="H51" s="294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x14ac:dyDescent="0.2">
      <c r="A52" s="293"/>
      <c r="B52" s="293"/>
      <c r="C52" s="293"/>
      <c r="D52" s="293"/>
      <c r="E52" s="293"/>
      <c r="F52" s="294"/>
      <c r="G52" s="294"/>
      <c r="H52" s="294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x14ac:dyDescent="0.2">
      <c r="A53" s="293"/>
      <c r="B53" s="293"/>
      <c r="C53" s="293"/>
      <c r="D53" s="293"/>
      <c r="E53" s="293"/>
      <c r="F53" s="294"/>
      <c r="G53" s="294"/>
      <c r="H53" s="294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x14ac:dyDescent="0.2">
      <c r="A54" s="293"/>
      <c r="B54" s="293"/>
      <c r="C54" s="293"/>
      <c r="D54" s="293"/>
      <c r="E54" s="293"/>
      <c r="F54" s="294"/>
      <c r="G54" s="294"/>
      <c r="H54" s="294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x14ac:dyDescent="0.2">
      <c r="A55" s="293"/>
      <c r="B55" s="293"/>
      <c r="C55" s="293"/>
      <c r="D55" s="293"/>
      <c r="E55" s="293"/>
      <c r="F55" s="294"/>
      <c r="G55" s="294"/>
      <c r="H55" s="294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x14ac:dyDescent="0.2">
      <c r="A56" s="293"/>
      <c r="B56" s="293"/>
      <c r="C56" s="293"/>
      <c r="D56" s="293"/>
      <c r="E56" s="293"/>
      <c r="F56" s="294"/>
      <c r="G56" s="294"/>
      <c r="H56" s="294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x14ac:dyDescent="0.2">
      <c r="A57" s="293"/>
      <c r="B57" s="293"/>
      <c r="C57" s="293"/>
      <c r="D57" s="293"/>
      <c r="E57" s="293"/>
      <c r="F57" s="294"/>
      <c r="G57" s="294"/>
      <c r="H57" s="294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x14ac:dyDescent="0.2">
      <c r="A58" s="293"/>
      <c r="B58" s="293"/>
      <c r="C58" s="293"/>
      <c r="D58" s="293"/>
      <c r="E58" s="293"/>
      <c r="F58" s="294"/>
      <c r="G58" s="294"/>
      <c r="H58" s="294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x14ac:dyDescent="0.2">
      <c r="A59" s="293"/>
      <c r="B59" s="293"/>
      <c r="C59" s="293"/>
      <c r="D59" s="293"/>
      <c r="E59" s="293"/>
      <c r="F59" s="294"/>
      <c r="G59" s="294"/>
      <c r="H59" s="294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x14ac:dyDescent="0.2">
      <c r="A60" s="293"/>
      <c r="B60" s="293"/>
      <c r="C60" s="293"/>
      <c r="D60" s="293"/>
      <c r="E60" s="293"/>
      <c r="F60" s="294"/>
      <c r="G60" s="294"/>
      <c r="H60" s="294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x14ac:dyDescent="0.2">
      <c r="A61" s="293"/>
      <c r="B61" s="293"/>
      <c r="C61" s="293"/>
      <c r="D61" s="293"/>
      <c r="E61" s="293"/>
      <c r="F61" s="294"/>
      <c r="G61" s="294"/>
      <c r="H61" s="294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x14ac:dyDescent="0.2">
      <c r="A62" s="293"/>
      <c r="B62" s="293"/>
      <c r="C62" s="293"/>
      <c r="D62" s="293"/>
      <c r="E62" s="293"/>
      <c r="F62" s="294"/>
      <c r="G62" s="294"/>
      <c r="H62" s="294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x14ac:dyDescent="0.2">
      <c r="A63" s="293"/>
      <c r="B63" s="293"/>
      <c r="C63" s="293"/>
      <c r="D63" s="293"/>
      <c r="E63" s="293"/>
      <c r="F63" s="294"/>
      <c r="G63" s="294"/>
      <c r="H63" s="294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x14ac:dyDescent="0.2">
      <c r="A64" s="293"/>
      <c r="B64" s="293"/>
      <c r="C64" s="293"/>
      <c r="D64" s="293"/>
      <c r="E64" s="293"/>
      <c r="F64" s="294"/>
      <c r="G64" s="294"/>
      <c r="H64" s="294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x14ac:dyDescent="0.2">
      <c r="A65" s="293"/>
      <c r="B65" s="293"/>
      <c r="C65" s="293"/>
      <c r="D65" s="293"/>
      <c r="E65" s="293"/>
      <c r="F65" s="294"/>
      <c r="G65" s="294"/>
      <c r="H65" s="294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x14ac:dyDescent="0.2">
      <c r="A66" s="293"/>
      <c r="B66" s="293"/>
      <c r="C66" s="293"/>
      <c r="D66" s="293"/>
      <c r="E66" s="293"/>
      <c r="F66" s="294"/>
      <c r="G66" s="294"/>
      <c r="H66" s="294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x14ac:dyDescent="0.2">
      <c r="A67" s="293"/>
      <c r="B67" s="293"/>
      <c r="C67" s="293"/>
      <c r="D67" s="293"/>
      <c r="E67" s="293"/>
      <c r="F67" s="294"/>
      <c r="G67" s="294"/>
      <c r="H67" s="294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x14ac:dyDescent="0.2">
      <c r="A68" s="293"/>
      <c r="B68" s="293"/>
      <c r="C68" s="293"/>
      <c r="D68" s="293"/>
      <c r="E68" s="293"/>
      <c r="F68" s="294"/>
      <c r="G68" s="294"/>
      <c r="H68" s="294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x14ac:dyDescent="0.2">
      <c r="A69" s="293"/>
      <c r="B69" s="293"/>
      <c r="C69" s="293"/>
      <c r="D69" s="293"/>
      <c r="E69" s="293"/>
      <c r="F69" s="294"/>
      <c r="G69" s="294"/>
      <c r="H69" s="294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x14ac:dyDescent="0.2">
      <c r="A70" s="293"/>
      <c r="B70" s="293"/>
      <c r="C70" s="293"/>
      <c r="D70" s="293"/>
      <c r="E70" s="293"/>
      <c r="F70" s="294"/>
      <c r="G70" s="294"/>
      <c r="H70" s="294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x14ac:dyDescent="0.2">
      <c r="A71" s="293"/>
      <c r="B71" s="293"/>
      <c r="C71" s="293"/>
      <c r="D71" s="293"/>
      <c r="E71" s="293"/>
      <c r="F71" s="294"/>
      <c r="G71" s="294"/>
      <c r="H71" s="294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x14ac:dyDescent="0.2">
      <c r="A72" s="293"/>
      <c r="B72" s="293"/>
      <c r="C72" s="293"/>
      <c r="D72" s="293"/>
      <c r="E72" s="293"/>
      <c r="F72" s="294"/>
      <c r="G72" s="294"/>
      <c r="H72" s="294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x14ac:dyDescent="0.2">
      <c r="A73" s="293"/>
      <c r="B73" s="293"/>
      <c r="C73" s="293"/>
      <c r="D73" s="293"/>
      <c r="E73" s="293"/>
      <c r="F73" s="294"/>
      <c r="G73" s="294"/>
      <c r="H73" s="294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x14ac:dyDescent="0.2">
      <c r="A74" s="293"/>
      <c r="B74" s="293"/>
      <c r="C74" s="293"/>
      <c r="D74" s="293"/>
      <c r="E74" s="293"/>
      <c r="F74" s="294"/>
      <c r="G74" s="294"/>
      <c r="H74" s="294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x14ac:dyDescent="0.2">
      <c r="A75" s="293"/>
      <c r="B75" s="293"/>
      <c r="C75" s="293"/>
      <c r="D75" s="293"/>
      <c r="E75" s="293"/>
      <c r="F75" s="294"/>
      <c r="G75" s="294"/>
      <c r="H75" s="294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x14ac:dyDescent="0.2">
      <c r="A76" s="293"/>
      <c r="B76" s="293"/>
      <c r="C76" s="293"/>
      <c r="D76" s="293"/>
      <c r="E76" s="293"/>
      <c r="F76" s="294"/>
      <c r="G76" s="294"/>
      <c r="H76" s="294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x14ac:dyDescent="0.2">
      <c r="A77" s="293"/>
      <c r="B77" s="293"/>
      <c r="C77" s="293"/>
      <c r="D77" s="293"/>
      <c r="E77" s="293"/>
      <c r="F77" s="294"/>
      <c r="G77" s="294"/>
      <c r="H77" s="294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x14ac:dyDescent="0.2">
      <c r="A78" s="293"/>
      <c r="B78" s="293"/>
      <c r="C78" s="293"/>
      <c r="D78" s="293"/>
      <c r="E78" s="293"/>
      <c r="F78" s="294"/>
      <c r="G78" s="294"/>
      <c r="H78" s="294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x14ac:dyDescent="0.2">
      <c r="A79" s="293"/>
      <c r="B79" s="293"/>
      <c r="C79" s="293"/>
      <c r="D79" s="293"/>
      <c r="E79" s="293"/>
      <c r="F79" s="294"/>
      <c r="G79" s="294"/>
      <c r="H79" s="294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x14ac:dyDescent="0.2">
      <c r="A80" s="293"/>
      <c r="B80" s="293"/>
      <c r="C80" s="293"/>
      <c r="D80" s="293"/>
      <c r="E80" s="293"/>
      <c r="F80" s="294"/>
      <c r="G80" s="294"/>
      <c r="H80" s="294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x14ac:dyDescent="0.2">
      <c r="A81" s="293"/>
      <c r="B81" s="293"/>
      <c r="C81" s="293"/>
      <c r="D81" s="293"/>
      <c r="E81" s="293"/>
      <c r="F81" s="294"/>
      <c r="G81" s="294"/>
      <c r="H81" s="294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x14ac:dyDescent="0.2">
      <c r="A82" s="293"/>
      <c r="B82" s="293"/>
      <c r="C82" s="293"/>
      <c r="D82" s="293"/>
      <c r="E82" s="293"/>
      <c r="F82" s="294"/>
      <c r="G82" s="294"/>
      <c r="H82" s="294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x14ac:dyDescent="0.2">
      <c r="A83" s="293"/>
      <c r="B83" s="293"/>
      <c r="C83" s="293"/>
      <c r="D83" s="293"/>
      <c r="E83" s="293"/>
      <c r="F83" s="294"/>
      <c r="G83" s="294"/>
      <c r="H83" s="294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x14ac:dyDescent="0.2">
      <c r="A84" s="293"/>
      <c r="B84" s="293"/>
      <c r="C84" s="293"/>
      <c r="D84" s="293"/>
      <c r="E84" s="293"/>
      <c r="F84" s="294"/>
      <c r="G84" s="294"/>
      <c r="H84" s="294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x14ac:dyDescent="0.2">
      <c r="A85" s="293"/>
      <c r="B85" s="293"/>
      <c r="C85" s="293"/>
      <c r="D85" s="293"/>
      <c r="E85" s="293"/>
      <c r="F85" s="294"/>
      <c r="G85" s="294"/>
      <c r="H85" s="294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x14ac:dyDescent="0.2">
      <c r="A86" s="293"/>
      <c r="B86" s="293"/>
      <c r="C86" s="293"/>
      <c r="D86" s="293"/>
      <c r="E86" s="293"/>
      <c r="F86" s="294"/>
      <c r="G86" s="294"/>
      <c r="H86" s="294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x14ac:dyDescent="0.2">
      <c r="A87" s="293"/>
      <c r="B87" s="293"/>
      <c r="C87" s="293"/>
      <c r="D87" s="293"/>
      <c r="E87" s="293"/>
      <c r="F87" s="294"/>
      <c r="G87" s="294"/>
      <c r="H87" s="294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x14ac:dyDescent="0.2">
      <c r="A88" s="293"/>
      <c r="B88" s="293"/>
      <c r="C88" s="293"/>
      <c r="D88" s="293"/>
      <c r="E88" s="293"/>
      <c r="F88" s="294"/>
      <c r="G88" s="294"/>
      <c r="H88" s="294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x14ac:dyDescent="0.2">
      <c r="A89" s="293"/>
      <c r="B89" s="293"/>
      <c r="C89" s="293"/>
      <c r="D89" s="293"/>
      <c r="E89" s="293"/>
      <c r="F89" s="294"/>
      <c r="G89" s="294"/>
      <c r="H89" s="294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x14ac:dyDescent="0.2">
      <c r="A90" s="293"/>
      <c r="B90" s="293"/>
      <c r="C90" s="293"/>
      <c r="D90" s="293"/>
      <c r="E90" s="293"/>
      <c r="F90" s="294"/>
      <c r="G90" s="294"/>
      <c r="H90" s="294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x14ac:dyDescent="0.2">
      <c r="A91" s="293"/>
      <c r="B91" s="293"/>
      <c r="C91" s="293"/>
      <c r="D91" s="293"/>
      <c r="E91" s="293"/>
      <c r="F91" s="294"/>
      <c r="G91" s="294"/>
      <c r="H91" s="294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x14ac:dyDescent="0.2">
      <c r="A92" s="293"/>
      <c r="B92" s="293"/>
      <c r="C92" s="293"/>
      <c r="D92" s="293"/>
      <c r="E92" s="293"/>
      <c r="F92" s="294"/>
      <c r="G92" s="294"/>
      <c r="H92" s="294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x14ac:dyDescent="0.2">
      <c r="A93" s="293"/>
      <c r="B93" s="293"/>
      <c r="C93" s="293"/>
      <c r="D93" s="293"/>
      <c r="E93" s="293"/>
      <c r="F93" s="294"/>
      <c r="G93" s="294"/>
      <c r="H93" s="294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x14ac:dyDescent="0.2">
      <c r="A94" s="293"/>
      <c r="B94" s="293"/>
      <c r="C94" s="293"/>
      <c r="D94" s="293"/>
      <c r="E94" s="293"/>
      <c r="F94" s="294"/>
      <c r="G94" s="294"/>
      <c r="H94" s="294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x14ac:dyDescent="0.2">
      <c r="A95" s="293"/>
      <c r="B95" s="293"/>
      <c r="C95" s="293"/>
      <c r="D95" s="293"/>
      <c r="E95" s="293"/>
      <c r="F95" s="294"/>
      <c r="G95" s="294"/>
      <c r="H95" s="294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x14ac:dyDescent="0.2">
      <c r="A96" s="293"/>
      <c r="B96" s="293"/>
      <c r="C96" s="293"/>
      <c r="D96" s="293"/>
      <c r="E96" s="293"/>
      <c r="F96" s="294"/>
      <c r="G96" s="294"/>
      <c r="H96" s="294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x14ac:dyDescent="0.2">
      <c r="A97" s="293"/>
      <c r="B97" s="293"/>
      <c r="C97" s="293"/>
      <c r="D97" s="293"/>
      <c r="E97" s="293"/>
      <c r="F97" s="294"/>
      <c r="G97" s="294"/>
      <c r="H97" s="294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x14ac:dyDescent="0.2">
      <c r="A98" s="293"/>
      <c r="B98" s="293"/>
      <c r="C98" s="293"/>
      <c r="D98" s="293"/>
      <c r="E98" s="293"/>
      <c r="F98" s="294"/>
      <c r="G98" s="294"/>
      <c r="H98" s="294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x14ac:dyDescent="0.2">
      <c r="A99" s="293"/>
      <c r="B99" s="293"/>
      <c r="C99" s="293"/>
      <c r="D99" s="293"/>
      <c r="E99" s="293"/>
      <c r="F99" s="294"/>
      <c r="G99" s="294"/>
      <c r="H99" s="294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x14ac:dyDescent="0.2">
      <c r="A100" s="293"/>
      <c r="B100" s="293"/>
      <c r="C100" s="293"/>
      <c r="D100" s="293"/>
      <c r="E100" s="293"/>
      <c r="F100" s="294"/>
      <c r="G100" s="294"/>
      <c r="H100" s="294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x14ac:dyDescent="0.2">
      <c r="A101" s="293"/>
      <c r="B101" s="293"/>
      <c r="C101" s="293"/>
      <c r="D101" s="293"/>
      <c r="E101" s="293"/>
      <c r="F101" s="294"/>
      <c r="G101" s="294"/>
      <c r="H101" s="294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</row>
    <row r="102" spans="1:24" x14ac:dyDescent="0.2">
      <c r="A102" s="293"/>
      <c r="B102" s="293"/>
      <c r="C102" s="293"/>
      <c r="D102" s="293"/>
      <c r="E102" s="293"/>
      <c r="F102" s="294"/>
      <c r="G102" s="294"/>
      <c r="H102" s="294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x14ac:dyDescent="0.2">
      <c r="A103" s="293"/>
      <c r="B103" s="293"/>
      <c r="C103" s="293"/>
      <c r="D103" s="293"/>
      <c r="E103" s="293"/>
      <c r="F103" s="294"/>
      <c r="G103" s="294"/>
      <c r="H103" s="294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x14ac:dyDescent="0.2">
      <c r="A104" s="293"/>
      <c r="B104" s="293"/>
      <c r="C104" s="293"/>
      <c r="D104" s="293"/>
      <c r="E104" s="293"/>
      <c r="F104" s="294"/>
      <c r="G104" s="294"/>
      <c r="H104" s="294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x14ac:dyDescent="0.2">
      <c r="A105" s="293"/>
      <c r="B105" s="293"/>
      <c r="C105" s="293"/>
      <c r="D105" s="293"/>
      <c r="E105" s="293"/>
      <c r="F105" s="294"/>
      <c r="G105" s="294"/>
      <c r="H105" s="294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x14ac:dyDescent="0.2">
      <c r="A106" s="293"/>
      <c r="B106" s="293"/>
      <c r="C106" s="293"/>
      <c r="D106" s="293"/>
      <c r="E106" s="293"/>
      <c r="F106" s="294"/>
      <c r="G106" s="294"/>
      <c r="H106" s="294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x14ac:dyDescent="0.2">
      <c r="A107" s="293"/>
      <c r="B107" s="293"/>
      <c r="C107" s="293"/>
      <c r="D107" s="293"/>
      <c r="E107" s="293"/>
      <c r="F107" s="294"/>
      <c r="G107" s="294"/>
      <c r="H107" s="294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x14ac:dyDescent="0.2">
      <c r="A108" s="293"/>
      <c r="B108" s="293"/>
      <c r="C108" s="293"/>
      <c r="D108" s="293"/>
      <c r="E108" s="293"/>
      <c r="F108" s="294"/>
      <c r="G108" s="294"/>
      <c r="H108" s="294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x14ac:dyDescent="0.2">
      <c r="A109" s="293"/>
      <c r="B109" s="293"/>
      <c r="C109" s="293"/>
      <c r="D109" s="293"/>
      <c r="E109" s="293"/>
      <c r="F109" s="294"/>
      <c r="G109" s="294"/>
      <c r="H109" s="294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x14ac:dyDescent="0.2">
      <c r="A110" s="293"/>
      <c r="B110" s="293"/>
      <c r="C110" s="293"/>
      <c r="D110" s="293"/>
      <c r="E110" s="293"/>
      <c r="F110" s="294"/>
      <c r="G110" s="294"/>
      <c r="H110" s="294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x14ac:dyDescent="0.2">
      <c r="A111" s="293"/>
      <c r="B111" s="293"/>
      <c r="C111" s="293"/>
      <c r="D111" s="293"/>
      <c r="E111" s="293"/>
      <c r="F111" s="294"/>
      <c r="G111" s="294"/>
      <c r="H111" s="294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x14ac:dyDescent="0.2">
      <c r="A112" s="293"/>
      <c r="B112" s="293"/>
      <c r="C112" s="293"/>
      <c r="D112" s="293"/>
      <c r="E112" s="293"/>
      <c r="F112" s="294"/>
      <c r="G112" s="294"/>
      <c r="H112" s="294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x14ac:dyDescent="0.2">
      <c r="A113" s="293"/>
      <c r="B113" s="293"/>
      <c r="C113" s="293"/>
      <c r="D113" s="293"/>
      <c r="E113" s="293"/>
      <c r="F113" s="294"/>
      <c r="G113" s="294"/>
      <c r="H113" s="294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x14ac:dyDescent="0.2">
      <c r="A114" s="293"/>
      <c r="B114" s="293"/>
      <c r="C114" s="293"/>
      <c r="D114" s="293"/>
      <c r="E114" s="293"/>
      <c r="F114" s="294"/>
      <c r="G114" s="294"/>
      <c r="H114" s="294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</row>
    <row r="115" spans="1:24" x14ac:dyDescent="0.2">
      <c r="A115" s="293"/>
      <c r="B115" s="293"/>
      <c r="C115" s="293"/>
      <c r="D115" s="293"/>
      <c r="E115" s="293"/>
      <c r="F115" s="294"/>
      <c r="G115" s="294"/>
      <c r="H115" s="294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x14ac:dyDescent="0.2">
      <c r="A116" s="293"/>
      <c r="B116" s="293"/>
      <c r="C116" s="293"/>
      <c r="D116" s="293"/>
      <c r="E116" s="293"/>
      <c r="F116" s="294"/>
      <c r="G116" s="294"/>
      <c r="H116" s="294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</row>
    <row r="117" spans="1:24" x14ac:dyDescent="0.2">
      <c r="A117" s="293"/>
      <c r="B117" s="293"/>
      <c r="C117" s="293"/>
      <c r="D117" s="293"/>
      <c r="E117" s="293"/>
      <c r="F117" s="294"/>
      <c r="G117" s="294"/>
      <c r="H117" s="294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</row>
    <row r="118" spans="1:24" x14ac:dyDescent="0.2">
      <c r="A118" s="293"/>
      <c r="B118" s="293"/>
      <c r="C118" s="293"/>
      <c r="D118" s="293"/>
      <c r="E118" s="293"/>
      <c r="F118" s="294"/>
      <c r="G118" s="294"/>
      <c r="H118" s="294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x14ac:dyDescent="0.2">
      <c r="A119" s="293"/>
      <c r="B119" s="293"/>
      <c r="C119" s="293"/>
      <c r="D119" s="293"/>
      <c r="E119" s="293"/>
      <c r="F119" s="294"/>
      <c r="G119" s="294"/>
      <c r="H119" s="294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</row>
    <row r="120" spans="1:24" x14ac:dyDescent="0.2">
      <c r="A120" s="293"/>
      <c r="B120" s="293"/>
      <c r="C120" s="293"/>
      <c r="D120" s="293"/>
      <c r="E120" s="293"/>
      <c r="F120" s="294"/>
      <c r="G120" s="294"/>
      <c r="H120" s="294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x14ac:dyDescent="0.2">
      <c r="A121" s="293"/>
      <c r="B121" s="293"/>
      <c r="C121" s="293"/>
      <c r="D121" s="293"/>
      <c r="E121" s="293"/>
      <c r="F121" s="294"/>
      <c r="G121" s="294"/>
      <c r="H121" s="294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</row>
    <row r="122" spans="1:24" x14ac:dyDescent="0.2">
      <c r="A122" s="293"/>
      <c r="B122" s="293"/>
      <c r="C122" s="293"/>
      <c r="D122" s="293"/>
      <c r="E122" s="293"/>
      <c r="F122" s="294"/>
      <c r="G122" s="294"/>
      <c r="H122" s="294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</row>
    <row r="123" spans="1:24" x14ac:dyDescent="0.2">
      <c r="A123" s="293"/>
      <c r="B123" s="293"/>
      <c r="C123" s="293"/>
      <c r="D123" s="293"/>
      <c r="E123" s="293"/>
      <c r="F123" s="294"/>
      <c r="G123" s="294"/>
      <c r="H123" s="294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x14ac:dyDescent="0.2">
      <c r="A124" s="293"/>
      <c r="B124" s="293"/>
      <c r="C124" s="293"/>
      <c r="D124" s="293"/>
      <c r="E124" s="293"/>
      <c r="F124" s="294"/>
      <c r="G124" s="294"/>
      <c r="H124" s="294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x14ac:dyDescent="0.2">
      <c r="A125" s="293"/>
      <c r="B125" s="293"/>
      <c r="C125" s="293"/>
      <c r="D125" s="293"/>
      <c r="E125" s="293"/>
      <c r="F125" s="294"/>
      <c r="G125" s="294"/>
      <c r="H125" s="294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x14ac:dyDescent="0.2">
      <c r="A126" s="293"/>
      <c r="B126" s="293"/>
      <c r="C126" s="293"/>
      <c r="D126" s="293"/>
      <c r="E126" s="293"/>
      <c r="F126" s="294"/>
      <c r="G126" s="294"/>
      <c r="H126" s="294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x14ac:dyDescent="0.2">
      <c r="A127" s="293"/>
      <c r="B127" s="293"/>
      <c r="C127" s="293"/>
      <c r="D127" s="293"/>
      <c r="E127" s="293"/>
      <c r="F127" s="294"/>
      <c r="G127" s="294"/>
      <c r="H127" s="294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x14ac:dyDescent="0.2">
      <c r="A128" s="293"/>
      <c r="B128" s="293"/>
      <c r="C128" s="293"/>
      <c r="D128" s="293"/>
      <c r="E128" s="293"/>
      <c r="F128" s="294"/>
      <c r="G128" s="294"/>
      <c r="H128" s="294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x14ac:dyDescent="0.2">
      <c r="A129" s="293"/>
      <c r="B129" s="293"/>
      <c r="C129" s="293"/>
      <c r="D129" s="293"/>
      <c r="E129" s="293"/>
      <c r="F129" s="294"/>
      <c r="G129" s="294"/>
      <c r="H129" s="294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x14ac:dyDescent="0.2">
      <c r="A130" s="293"/>
      <c r="B130" s="293"/>
      <c r="C130" s="293"/>
      <c r="D130" s="293"/>
      <c r="E130" s="293"/>
      <c r="F130" s="294"/>
      <c r="G130" s="294"/>
      <c r="H130" s="294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x14ac:dyDescent="0.2">
      <c r="A131" s="293"/>
      <c r="B131" s="293"/>
      <c r="C131" s="293"/>
      <c r="D131" s="293"/>
      <c r="E131" s="293"/>
      <c r="F131" s="294"/>
      <c r="G131" s="294"/>
      <c r="H131" s="294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x14ac:dyDescent="0.2">
      <c r="A132" s="293"/>
      <c r="B132" s="293"/>
      <c r="C132" s="293"/>
      <c r="D132" s="293"/>
      <c r="E132" s="293"/>
      <c r="F132" s="294"/>
      <c r="G132" s="294"/>
      <c r="H132" s="294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x14ac:dyDescent="0.2">
      <c r="A133" s="293"/>
      <c r="B133" s="293"/>
      <c r="C133" s="293"/>
      <c r="D133" s="293"/>
      <c r="E133" s="293"/>
      <c r="F133" s="294"/>
      <c r="G133" s="294"/>
      <c r="H133" s="294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x14ac:dyDescent="0.2">
      <c r="A134" s="293"/>
      <c r="B134" s="293"/>
      <c r="C134" s="293"/>
      <c r="D134" s="293"/>
      <c r="E134" s="293"/>
      <c r="F134" s="294"/>
      <c r="G134" s="294"/>
      <c r="H134" s="294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</row>
    <row r="135" spans="1:24" x14ac:dyDescent="0.2">
      <c r="A135" s="293"/>
      <c r="B135" s="293"/>
      <c r="C135" s="293"/>
      <c r="D135" s="293"/>
      <c r="E135" s="293"/>
      <c r="F135" s="294"/>
      <c r="G135" s="294"/>
      <c r="H135" s="294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x14ac:dyDescent="0.2">
      <c r="A136" s="293"/>
      <c r="B136" s="293"/>
      <c r="C136" s="293"/>
      <c r="D136" s="293"/>
      <c r="E136" s="293"/>
      <c r="F136" s="294"/>
      <c r="G136" s="294"/>
      <c r="H136" s="294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x14ac:dyDescent="0.2">
      <c r="A137" s="293"/>
      <c r="B137" s="293"/>
      <c r="C137" s="293"/>
      <c r="D137" s="293"/>
      <c r="E137" s="293"/>
      <c r="F137" s="294"/>
      <c r="G137" s="294"/>
      <c r="H137" s="294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x14ac:dyDescent="0.2">
      <c r="A138" s="293"/>
      <c r="B138" s="293"/>
      <c r="C138" s="293"/>
      <c r="D138" s="293"/>
      <c r="E138" s="293"/>
      <c r="F138" s="294"/>
      <c r="G138" s="294"/>
      <c r="H138" s="294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x14ac:dyDescent="0.2">
      <c r="A139" s="293"/>
      <c r="B139" s="293"/>
      <c r="C139" s="293"/>
      <c r="D139" s="293"/>
      <c r="E139" s="293"/>
      <c r="F139" s="294"/>
      <c r="G139" s="294"/>
      <c r="H139" s="294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x14ac:dyDescent="0.2">
      <c r="A140" s="293"/>
      <c r="B140" s="293"/>
      <c r="C140" s="293"/>
      <c r="D140" s="293"/>
      <c r="E140" s="293"/>
      <c r="F140" s="294"/>
      <c r="G140" s="294"/>
      <c r="H140" s="294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x14ac:dyDescent="0.2">
      <c r="A141" s="293"/>
      <c r="B141" s="293"/>
      <c r="C141" s="293"/>
      <c r="D141" s="293"/>
      <c r="E141" s="293"/>
      <c r="F141" s="294"/>
      <c r="G141" s="294"/>
      <c r="H141" s="294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x14ac:dyDescent="0.2">
      <c r="A142" s="293"/>
      <c r="B142" s="293"/>
      <c r="C142" s="293"/>
      <c r="D142" s="293"/>
      <c r="E142" s="293"/>
      <c r="F142" s="294"/>
      <c r="G142" s="294"/>
      <c r="H142" s="294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x14ac:dyDescent="0.2">
      <c r="A143" s="293"/>
      <c r="B143" s="293"/>
      <c r="C143" s="293"/>
      <c r="D143" s="293"/>
      <c r="E143" s="293"/>
      <c r="F143" s="294"/>
      <c r="G143" s="294"/>
      <c r="H143" s="294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:24" x14ac:dyDescent="0.2">
      <c r="A144" s="293"/>
      <c r="B144" s="293"/>
      <c r="C144" s="293"/>
      <c r="D144" s="293"/>
      <c r="E144" s="293"/>
      <c r="F144" s="294"/>
      <c r="G144" s="294"/>
      <c r="H144" s="294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</row>
    <row r="145" spans="1:24" x14ac:dyDescent="0.2">
      <c r="A145" s="293"/>
      <c r="B145" s="293"/>
      <c r="C145" s="293"/>
      <c r="D145" s="293"/>
      <c r="E145" s="293"/>
      <c r="F145" s="294"/>
      <c r="G145" s="294"/>
      <c r="H145" s="294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</row>
    <row r="146" spans="1:24" x14ac:dyDescent="0.2">
      <c r="A146" s="293"/>
      <c r="B146" s="293"/>
      <c r="C146" s="293"/>
      <c r="D146" s="293"/>
      <c r="E146" s="293"/>
      <c r="F146" s="294"/>
      <c r="G146" s="294"/>
      <c r="H146" s="294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</row>
    <row r="147" spans="1:24" x14ac:dyDescent="0.2">
      <c r="A147" s="293"/>
      <c r="B147" s="293"/>
      <c r="C147" s="293"/>
      <c r="D147" s="293"/>
      <c r="E147" s="293"/>
      <c r="F147" s="294"/>
      <c r="G147" s="294"/>
      <c r="H147" s="294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</row>
    <row r="148" spans="1:24" x14ac:dyDescent="0.2">
      <c r="A148" s="293"/>
      <c r="B148" s="293"/>
      <c r="C148" s="293"/>
      <c r="D148" s="293"/>
      <c r="E148" s="293"/>
      <c r="F148" s="294"/>
      <c r="G148" s="294"/>
      <c r="H148" s="294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</row>
    <row r="149" spans="1:24" x14ac:dyDescent="0.2">
      <c r="A149" s="293"/>
      <c r="B149" s="293"/>
      <c r="C149" s="293"/>
      <c r="D149" s="293"/>
      <c r="E149" s="293"/>
      <c r="F149" s="294"/>
      <c r="G149" s="294"/>
      <c r="H149" s="294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</row>
    <row r="150" spans="1:24" x14ac:dyDescent="0.2">
      <c r="A150" s="293"/>
      <c r="B150" s="293"/>
      <c r="C150" s="293"/>
      <c r="D150" s="293"/>
      <c r="E150" s="293"/>
      <c r="F150" s="294"/>
      <c r="G150" s="294"/>
      <c r="H150" s="294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</row>
    <row r="151" spans="1:24" x14ac:dyDescent="0.2">
      <c r="A151" s="293"/>
      <c r="B151" s="293"/>
      <c r="C151" s="293"/>
      <c r="D151" s="293"/>
      <c r="E151" s="293"/>
      <c r="F151" s="294"/>
      <c r="G151" s="294"/>
      <c r="H151" s="294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</row>
    <row r="152" spans="1:24" x14ac:dyDescent="0.2">
      <c r="A152" s="293"/>
      <c r="B152" s="293"/>
      <c r="C152" s="293"/>
      <c r="D152" s="293"/>
      <c r="E152" s="293"/>
      <c r="F152" s="294"/>
      <c r="G152" s="294"/>
      <c r="H152" s="294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</row>
    <row r="153" spans="1:24" x14ac:dyDescent="0.2">
      <c r="A153" s="293"/>
      <c r="B153" s="293"/>
      <c r="C153" s="293"/>
      <c r="D153" s="293"/>
      <c r="E153" s="293"/>
      <c r="F153" s="294"/>
      <c r="G153" s="294"/>
      <c r="H153" s="294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</row>
    <row r="154" spans="1:24" x14ac:dyDescent="0.2">
      <c r="A154" s="293"/>
      <c r="B154" s="293"/>
      <c r="C154" s="293"/>
      <c r="D154" s="293"/>
      <c r="E154" s="293"/>
      <c r="F154" s="294"/>
      <c r="G154" s="294"/>
      <c r="H154" s="294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</row>
    <row r="155" spans="1:24" x14ac:dyDescent="0.2">
      <c r="A155" s="293"/>
      <c r="B155" s="293"/>
      <c r="C155" s="293"/>
      <c r="D155" s="293"/>
      <c r="E155" s="293"/>
      <c r="F155" s="294"/>
      <c r="G155" s="294"/>
      <c r="H155" s="294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</row>
    <row r="156" spans="1:24" x14ac:dyDescent="0.2">
      <c r="A156" s="293"/>
      <c r="B156" s="293"/>
      <c r="C156" s="293"/>
      <c r="D156" s="293"/>
      <c r="E156" s="293"/>
      <c r="F156" s="294"/>
      <c r="G156" s="294"/>
      <c r="H156" s="294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</row>
    <row r="157" spans="1:24" x14ac:dyDescent="0.2">
      <c r="A157" s="293"/>
      <c r="B157" s="293"/>
      <c r="C157" s="293"/>
      <c r="D157" s="293"/>
      <c r="E157" s="293"/>
      <c r="F157" s="294"/>
      <c r="G157" s="294"/>
      <c r="H157" s="294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</row>
    <row r="158" spans="1:24" x14ac:dyDescent="0.2">
      <c r="A158" s="293"/>
      <c r="B158" s="293"/>
      <c r="C158" s="293"/>
      <c r="D158" s="293"/>
      <c r="E158" s="293"/>
      <c r="F158" s="294"/>
      <c r="G158" s="294"/>
      <c r="H158" s="294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</row>
    <row r="159" spans="1:24" x14ac:dyDescent="0.2">
      <c r="A159" s="293"/>
      <c r="B159" s="293"/>
      <c r="C159" s="293"/>
      <c r="D159" s="293"/>
      <c r="E159" s="293"/>
      <c r="F159" s="294"/>
      <c r="G159" s="294"/>
      <c r="H159" s="294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</row>
    <row r="160" spans="1:24" x14ac:dyDescent="0.2">
      <c r="A160" s="293"/>
      <c r="B160" s="293"/>
      <c r="C160" s="293"/>
      <c r="D160" s="293"/>
      <c r="E160" s="293"/>
      <c r="F160" s="294"/>
      <c r="G160" s="294"/>
      <c r="H160" s="294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</row>
    <row r="161" spans="1:24" x14ac:dyDescent="0.2">
      <c r="A161" s="293"/>
      <c r="B161" s="293"/>
      <c r="C161" s="293"/>
      <c r="D161" s="293"/>
      <c r="E161" s="293"/>
      <c r="F161" s="294"/>
      <c r="G161" s="294"/>
      <c r="H161" s="294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</row>
    <row r="162" spans="1:24" x14ac:dyDescent="0.2">
      <c r="A162" s="293"/>
      <c r="B162" s="293"/>
      <c r="C162" s="293"/>
      <c r="D162" s="293"/>
      <c r="E162" s="293"/>
      <c r="F162" s="294"/>
      <c r="G162" s="294"/>
      <c r="H162" s="294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</row>
    <row r="163" spans="1:24" x14ac:dyDescent="0.2">
      <c r="A163" s="293"/>
      <c r="B163" s="293"/>
      <c r="C163" s="293"/>
      <c r="D163" s="293"/>
      <c r="E163" s="293"/>
      <c r="F163" s="294"/>
      <c r="G163" s="294"/>
      <c r="H163" s="294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</row>
    <row r="164" spans="1:24" x14ac:dyDescent="0.2">
      <c r="A164" s="293"/>
      <c r="B164" s="293"/>
      <c r="C164" s="293"/>
      <c r="D164" s="293"/>
      <c r="E164" s="293"/>
      <c r="F164" s="294"/>
      <c r="G164" s="294"/>
      <c r="H164" s="294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</row>
    <row r="165" spans="1:24" x14ac:dyDescent="0.2">
      <c r="A165" s="293"/>
      <c r="B165" s="293"/>
      <c r="C165" s="293"/>
      <c r="D165" s="293"/>
      <c r="E165" s="293"/>
      <c r="F165" s="294"/>
      <c r="G165" s="294"/>
      <c r="H165" s="294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</row>
    <row r="166" spans="1:24" x14ac:dyDescent="0.2">
      <c r="A166" s="293"/>
      <c r="B166" s="293"/>
      <c r="C166" s="293"/>
      <c r="D166" s="293"/>
      <c r="E166" s="293"/>
      <c r="F166" s="294"/>
      <c r="G166" s="294"/>
      <c r="H166" s="294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</row>
    <row r="167" spans="1:24" x14ac:dyDescent="0.2">
      <c r="A167" s="293"/>
      <c r="B167" s="293"/>
      <c r="C167" s="293"/>
      <c r="D167" s="293"/>
      <c r="E167" s="293"/>
      <c r="F167" s="294"/>
      <c r="G167" s="294"/>
      <c r="H167" s="294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</row>
    <row r="168" spans="1:24" x14ac:dyDescent="0.2">
      <c r="A168" s="293"/>
      <c r="B168" s="293"/>
      <c r="C168" s="293"/>
      <c r="D168" s="293"/>
      <c r="E168" s="293"/>
      <c r="F168" s="294"/>
      <c r="G168" s="294"/>
      <c r="H168" s="294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</row>
    <row r="169" spans="1:24" x14ac:dyDescent="0.2">
      <c r="A169" s="293"/>
      <c r="B169" s="293"/>
      <c r="C169" s="293"/>
      <c r="D169" s="293"/>
      <c r="E169" s="293"/>
      <c r="F169" s="294"/>
      <c r="G169" s="294"/>
      <c r="H169" s="294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</row>
    <row r="170" spans="1:24" x14ac:dyDescent="0.2">
      <c r="A170" s="293"/>
      <c r="B170" s="293"/>
      <c r="C170" s="293"/>
      <c r="D170" s="293"/>
      <c r="E170" s="293"/>
      <c r="F170" s="294"/>
      <c r="G170" s="294"/>
      <c r="H170" s="294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</row>
    <row r="171" spans="1:24" x14ac:dyDescent="0.2">
      <c r="A171" s="293"/>
      <c r="B171" s="293"/>
      <c r="C171" s="293"/>
      <c r="D171" s="293"/>
      <c r="E171" s="293"/>
      <c r="F171" s="294"/>
      <c r="G171" s="294"/>
      <c r="H171" s="294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</row>
    <row r="172" spans="1:24" x14ac:dyDescent="0.2">
      <c r="A172" s="293"/>
      <c r="B172" s="293"/>
      <c r="C172" s="293"/>
      <c r="D172" s="293"/>
      <c r="E172" s="293"/>
      <c r="F172" s="294"/>
      <c r="G172" s="294"/>
      <c r="H172" s="294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dataValidations count="1">
    <dataValidation type="list" allowBlank="1" showErrorMessage="1" sqref="N2:N5">
      <formula1>$C$1:$C$24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2"/>
  <sheetViews>
    <sheetView tabSelected="1" view="pageBreakPreview" topLeftCell="C31" zoomScale="50" zoomScaleNormal="85" zoomScaleSheetLayoutView="50" workbookViewId="0">
      <selection activeCell="BV50" sqref="BV50"/>
    </sheetView>
  </sheetViews>
  <sheetFormatPr defaultColWidth="10.28515625" defaultRowHeight="87.75" x14ac:dyDescent="1.05"/>
  <cols>
    <col min="1" max="1" width="3.5703125" style="43" customWidth="1"/>
    <col min="2" max="2" width="55.85546875" style="44" customWidth="1"/>
    <col min="3" max="3" width="15.5703125" style="45" customWidth="1"/>
    <col min="4" max="4" width="19.7109375" style="46" customWidth="1"/>
    <col min="5" max="5" width="60.7109375" style="47" customWidth="1"/>
    <col min="6" max="6" width="11.7109375" style="45" customWidth="1"/>
    <col min="7" max="7" width="11.5703125" style="45" customWidth="1"/>
    <col min="8" max="8" width="61.85546875" style="47" customWidth="1"/>
    <col min="9" max="14" width="0" style="43" hidden="1" customWidth="1"/>
    <col min="15" max="15" width="0" style="48" hidden="1" customWidth="1"/>
    <col min="16" max="17" width="0" style="43" hidden="1" customWidth="1"/>
    <col min="18" max="18" width="0" style="49" hidden="1" customWidth="1"/>
    <col min="19" max="61" width="0" style="43" hidden="1" customWidth="1"/>
    <col min="62" max="62" width="2.85546875" style="43" customWidth="1"/>
    <col min="63" max="63" width="63.85546875" style="50" customWidth="1"/>
    <col min="64" max="65" width="11.7109375" style="51" customWidth="1"/>
    <col min="66" max="67" width="11.85546875" style="51" customWidth="1"/>
    <col min="68" max="68" width="11.42578125" style="51" customWidth="1"/>
    <col min="69" max="71" width="11.7109375" style="51" customWidth="1"/>
    <col min="72" max="72" width="3.5703125" style="43" customWidth="1"/>
    <col min="73" max="16384" width="10.28515625" style="43"/>
  </cols>
  <sheetData>
    <row r="1" spans="1:72" ht="93.75" customHeight="1" x14ac:dyDescent="1.05">
      <c r="B1" s="53"/>
      <c r="C1" s="353">
        <v>2023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53"/>
      <c r="BO1" s="53"/>
    </row>
    <row r="2" spans="1:72" ht="78.75" customHeight="1" thickBot="1" x14ac:dyDescent="1.1000000000000001">
      <c r="A2" s="52"/>
      <c r="B2" s="54"/>
      <c r="C2" s="354" t="s">
        <v>236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</row>
    <row r="3" spans="1:72" s="71" customFormat="1" ht="39.75" customHeight="1" thickTop="1" thickBot="1" x14ac:dyDescent="1.1000000000000001">
      <c r="A3" s="55"/>
      <c r="B3" s="56" t="s">
        <v>38</v>
      </c>
      <c r="C3" s="57"/>
      <c r="D3" s="58"/>
      <c r="E3" s="59"/>
      <c r="F3" s="60"/>
      <c r="G3" s="60"/>
      <c r="H3" s="59"/>
      <c r="I3" s="61"/>
      <c r="J3" s="61"/>
      <c r="K3" s="61"/>
      <c r="L3" s="61"/>
      <c r="M3" s="61"/>
      <c r="N3" s="62"/>
      <c r="O3" s="63"/>
      <c r="P3" s="62"/>
      <c r="Q3" s="62"/>
      <c r="R3" s="64"/>
      <c r="S3" s="62"/>
      <c r="T3" s="62"/>
      <c r="U3" s="62"/>
      <c r="V3" s="62"/>
      <c r="W3" s="62"/>
      <c r="X3" s="65" t="s">
        <v>1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6"/>
      <c r="BC3" s="66"/>
      <c r="BD3" s="66"/>
      <c r="BE3" s="66"/>
      <c r="BF3" s="66"/>
      <c r="BG3" s="66"/>
      <c r="BH3" s="66"/>
      <c r="BI3" s="66"/>
      <c r="BJ3" s="67"/>
      <c r="BK3" s="68"/>
      <c r="BL3" s="69"/>
      <c r="BM3" s="69"/>
      <c r="BN3" s="69"/>
      <c r="BO3" s="69"/>
      <c r="BP3" s="69"/>
      <c r="BQ3" s="69"/>
      <c r="BR3" s="69"/>
      <c r="BS3" s="69"/>
      <c r="BT3" s="70"/>
    </row>
    <row r="4" spans="1:72" ht="35.1" customHeight="1" thickBot="1" x14ac:dyDescent="0.35">
      <c r="A4" s="72"/>
      <c r="B4" s="301">
        <v>45203</v>
      </c>
      <c r="C4" s="73">
        <v>0.66666666666666663</v>
      </c>
      <c r="D4" s="341" t="s">
        <v>1</v>
      </c>
      <c r="E4" s="321" t="s">
        <v>203</v>
      </c>
      <c r="F4" s="333">
        <v>2</v>
      </c>
      <c r="G4" s="333">
        <v>6</v>
      </c>
      <c r="H4" s="321" t="s">
        <v>206</v>
      </c>
      <c r="I4" s="52"/>
      <c r="J4" s="52"/>
      <c r="K4" s="355" t="s">
        <v>1</v>
      </c>
      <c r="L4" s="74"/>
      <c r="M4" s="74" t="s">
        <v>39</v>
      </c>
      <c r="N4" s="75"/>
      <c r="O4" s="76"/>
      <c r="P4" s="75"/>
      <c r="Q4" s="75"/>
      <c r="R4" s="75"/>
      <c r="S4" s="75"/>
      <c r="T4" s="75"/>
      <c r="U4" s="76"/>
      <c r="V4" s="52"/>
      <c r="W4" s="52"/>
      <c r="X4" s="77"/>
      <c r="Y4" s="52" t="s">
        <v>11</v>
      </c>
      <c r="Z4" s="52"/>
      <c r="AA4" s="52" t="s">
        <v>40</v>
      </c>
      <c r="AB4" s="52"/>
      <c r="AC4" s="52" t="s">
        <v>10</v>
      </c>
      <c r="AD4" s="52"/>
      <c r="AE4" s="52" t="s">
        <v>41</v>
      </c>
      <c r="AF4" s="52"/>
      <c r="AG4" s="52"/>
      <c r="AH4" s="52"/>
      <c r="AI4" s="52"/>
      <c r="AJ4" s="52"/>
      <c r="AK4" s="52"/>
      <c r="AL4" s="52"/>
      <c r="AM4" s="52"/>
      <c r="AN4" s="52"/>
      <c r="AO4" s="52" t="s">
        <v>10</v>
      </c>
      <c r="AP4" s="52" t="s">
        <v>11</v>
      </c>
      <c r="AQ4" s="52" t="s">
        <v>12</v>
      </c>
      <c r="AR4" s="52" t="s">
        <v>13</v>
      </c>
      <c r="AS4" s="52" t="s">
        <v>1</v>
      </c>
      <c r="AT4" s="52" t="s">
        <v>14</v>
      </c>
      <c r="AU4" s="52" t="s">
        <v>42</v>
      </c>
      <c r="AV4" s="52" t="s">
        <v>16</v>
      </c>
      <c r="AW4" s="52" t="s">
        <v>17</v>
      </c>
      <c r="AX4" s="52" t="s">
        <v>18</v>
      </c>
      <c r="AY4" s="52" t="s">
        <v>43</v>
      </c>
      <c r="AZ4" s="52" t="s">
        <v>19</v>
      </c>
      <c r="BA4" s="52"/>
      <c r="BJ4" s="78"/>
      <c r="BK4" s="356" t="s">
        <v>1</v>
      </c>
      <c r="BL4" s="357" t="s">
        <v>36</v>
      </c>
      <c r="BM4" s="357" t="s">
        <v>11</v>
      </c>
      <c r="BN4" s="357" t="s">
        <v>13</v>
      </c>
      <c r="BO4" s="358" t="s">
        <v>12</v>
      </c>
      <c r="BP4" s="357" t="s">
        <v>1</v>
      </c>
      <c r="BQ4" s="357" t="s">
        <v>14</v>
      </c>
      <c r="BR4" s="358" t="s">
        <v>255</v>
      </c>
      <c r="BS4" s="357" t="s">
        <v>10</v>
      </c>
      <c r="BT4" s="79"/>
    </row>
    <row r="5" spans="1:72" ht="35.1" customHeight="1" thickBot="1" x14ac:dyDescent="0.35">
      <c r="A5" s="72"/>
      <c r="B5" s="301">
        <v>45203</v>
      </c>
      <c r="C5" s="73">
        <v>0.70833333333333337</v>
      </c>
      <c r="D5" s="341"/>
      <c r="E5" s="321" t="s">
        <v>223</v>
      </c>
      <c r="F5" s="333">
        <v>4</v>
      </c>
      <c r="G5" s="333">
        <v>3</v>
      </c>
      <c r="H5" s="321" t="s">
        <v>224</v>
      </c>
      <c r="I5" s="52"/>
      <c r="J5" s="52"/>
      <c r="K5" s="355"/>
      <c r="L5" s="81" t="s">
        <v>10</v>
      </c>
      <c r="M5" s="81" t="s">
        <v>10</v>
      </c>
      <c r="N5" s="81" t="s">
        <v>1</v>
      </c>
      <c r="O5" s="81" t="s">
        <v>14</v>
      </c>
      <c r="P5" s="81" t="s">
        <v>36</v>
      </c>
      <c r="Q5" s="81" t="s">
        <v>11</v>
      </c>
      <c r="R5" s="81" t="s">
        <v>12</v>
      </c>
      <c r="S5" s="81" t="s">
        <v>13</v>
      </c>
      <c r="T5" s="81" t="s">
        <v>1</v>
      </c>
      <c r="U5" s="81" t="s">
        <v>14</v>
      </c>
      <c r="V5" s="52"/>
      <c r="W5" s="52" t="e">
        <f>RANK(BA5,BA5:BA10)</f>
        <v>#REF!</v>
      </c>
      <c r="X5" s="52" t="e">
        <f>#REF!</f>
        <v>#REF!</v>
      </c>
      <c r="Y5" s="82"/>
      <c r="Z5" s="82"/>
      <c r="AA5" s="82" t="e">
        <f>IF(#REF!=FALSE,FALSE,#REF!)</f>
        <v>#REF!</v>
      </c>
      <c r="AB5" s="82" t="e">
        <f>IF(#REF!=FALSE,FALSE,#REF!)</f>
        <v>#REF!</v>
      </c>
      <c r="AC5" s="82">
        <f>IF(F7=FALSE,FALSE,F7)</f>
        <v>4</v>
      </c>
      <c r="AD5" s="82">
        <f>IF(G7=FALSE,FALSE,G7)</f>
        <v>2</v>
      </c>
      <c r="AE5" s="82"/>
      <c r="AF5" s="82"/>
      <c r="AG5" s="52"/>
      <c r="AH5" s="52" t="e">
        <f>(IF(AB5=FALSE,FALSE,IF(AA5&gt;AB5,3,IF(AA5=AB5,1,0))))</f>
        <v>#REF!</v>
      </c>
      <c r="AI5" s="52">
        <f>(IF(AD5=FALSE,FALSE,IF(AC5&gt;AD5,3,IF(AC5=AD5,1,0))))</f>
        <v>3</v>
      </c>
      <c r="AJ5" s="52" t="b">
        <f>(IF(AF5=FALSE,FALSE,IF(AE5&gt;AF5,3,IF(AE5=AF5,1,0))))</f>
        <v>0</v>
      </c>
      <c r="AK5" s="52"/>
      <c r="AL5" s="52">
        <f>IF(AO5=AO8,1,0)</f>
        <v>0</v>
      </c>
      <c r="AM5" s="52">
        <f>IF(AO5=AO9,1,0)</f>
        <v>0</v>
      </c>
      <c r="AN5" s="52">
        <f>IF(AO5=AO10,1,0)</f>
        <v>0</v>
      </c>
      <c r="AO5" s="52">
        <f>SUM(AP5*3+AQ5)</f>
        <v>3</v>
      </c>
      <c r="AP5" s="52">
        <f>COUNTIF(AG5:AJ5,3)+COUNTIF(AG5:AG10,0)</f>
        <v>1</v>
      </c>
      <c r="AQ5" s="52">
        <f>COUNTIF(AG5:AJ5,1)+COUNTIF(AG5:AG10,1)</f>
        <v>0</v>
      </c>
      <c r="AR5" s="52">
        <f>COUNTIF(AG5:AJ5,0)+COUNTIF(AG5:AG10,3)</f>
        <v>1</v>
      </c>
      <c r="AS5" s="52" t="e">
        <f>Y5+AA5+AC5+AE5+SUM(Z5:Z10)</f>
        <v>#REF!</v>
      </c>
      <c r="AT5" s="52" t="e">
        <f>Z5+AB5+AD5+AF5+SUM(Y5:Y10)</f>
        <v>#REF!</v>
      </c>
      <c r="AU5" s="52" t="e">
        <f>AS5-AT5</f>
        <v>#REF!</v>
      </c>
      <c r="AV5" s="52" t="e">
        <f>AL5*AH5+AM5*AI5+AN5*AJ5+AK8*#REF!+AK9*#REF!+AK10*#REF!</f>
        <v>#REF!</v>
      </c>
      <c r="AW5" s="52" t="e">
        <f>AL5*AA5+AM5*AC5+AN5*AE5+AK8*Z8+AK9*Z9+AK10*Z10</f>
        <v>#REF!</v>
      </c>
      <c r="AX5" s="52" t="e">
        <f>AL5*AB5+AM5*AD5+AN5*AF5+AK8*Y8+AK9*Y9+AK10*Y10</f>
        <v>#REF!</v>
      </c>
      <c r="AY5" s="52" t="e">
        <f>AW5-AX5</f>
        <v>#REF!</v>
      </c>
      <c r="AZ5" s="52" t="e">
        <f>SUM(AV5:AX5)</f>
        <v>#REF!</v>
      </c>
      <c r="BA5" s="52" t="e">
        <f>AO5*1000000+AU5*10000+AS5*100+AV5+AY5/100+AW5/10000+2/1000000</f>
        <v>#REF!</v>
      </c>
      <c r="BJ5" s="78"/>
      <c r="BK5" s="356"/>
      <c r="BL5" s="357"/>
      <c r="BM5" s="357"/>
      <c r="BN5" s="357"/>
      <c r="BO5" s="359"/>
      <c r="BP5" s="357"/>
      <c r="BQ5" s="357"/>
      <c r="BR5" s="359"/>
      <c r="BS5" s="357"/>
      <c r="BT5" s="83"/>
    </row>
    <row r="6" spans="1:72" ht="35.1" customHeight="1" thickBot="1" x14ac:dyDescent="0.35">
      <c r="A6" s="72"/>
      <c r="B6" s="301" t="s">
        <v>237</v>
      </c>
      <c r="C6" s="73" t="s">
        <v>238</v>
      </c>
      <c r="D6" s="341"/>
      <c r="E6" s="322" t="s">
        <v>224</v>
      </c>
      <c r="F6" s="333">
        <v>2</v>
      </c>
      <c r="G6" s="333">
        <v>10</v>
      </c>
      <c r="H6" s="321" t="s">
        <v>225</v>
      </c>
      <c r="I6" s="52"/>
      <c r="J6" s="52"/>
      <c r="K6" s="307"/>
      <c r="L6" s="81"/>
      <c r="M6" s="81"/>
      <c r="N6" s="81"/>
      <c r="O6" s="81"/>
      <c r="P6" s="81"/>
      <c r="Q6" s="81"/>
      <c r="R6" s="81"/>
      <c r="S6" s="81"/>
      <c r="T6" s="81"/>
      <c r="U6" s="81"/>
      <c r="V6" s="52"/>
      <c r="W6" s="52"/>
      <c r="X6" s="52"/>
      <c r="Y6" s="82"/>
      <c r="Z6" s="82"/>
      <c r="AA6" s="82"/>
      <c r="AB6" s="82"/>
      <c r="AC6" s="82"/>
      <c r="AD6" s="82"/>
      <c r="AE6" s="82"/>
      <c r="AF6" s="8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J6" s="78" t="s">
        <v>202</v>
      </c>
      <c r="BK6" s="321" t="s">
        <v>207</v>
      </c>
      <c r="BL6" s="332">
        <v>4</v>
      </c>
      <c r="BM6" s="331">
        <v>3</v>
      </c>
      <c r="BN6" s="331">
        <v>1</v>
      </c>
      <c r="BO6" s="331">
        <v>0</v>
      </c>
      <c r="BP6" s="331">
        <v>20</v>
      </c>
      <c r="BQ6" s="331">
        <v>8</v>
      </c>
      <c r="BR6" s="331">
        <v>12</v>
      </c>
      <c r="BS6" s="331">
        <v>9</v>
      </c>
      <c r="BT6" s="83"/>
    </row>
    <row r="7" spans="1:72" ht="35.1" customHeight="1" thickBot="1" x14ac:dyDescent="0.35">
      <c r="A7" s="72"/>
      <c r="B7" s="301" t="s">
        <v>239</v>
      </c>
      <c r="C7" s="73" t="s">
        <v>254</v>
      </c>
      <c r="D7" s="341"/>
      <c r="E7" s="321" t="s">
        <v>203</v>
      </c>
      <c r="F7" s="333">
        <v>4</v>
      </c>
      <c r="G7" s="333">
        <v>2</v>
      </c>
      <c r="H7" s="321" t="s">
        <v>204</v>
      </c>
      <c r="I7" s="52"/>
      <c r="J7" s="52"/>
      <c r="K7" s="307"/>
      <c r="L7" s="81"/>
      <c r="M7" s="81"/>
      <c r="N7" s="81"/>
      <c r="O7" s="81"/>
      <c r="P7" s="81"/>
      <c r="Q7" s="81"/>
      <c r="R7" s="81"/>
      <c r="S7" s="81"/>
      <c r="T7" s="81"/>
      <c r="U7" s="81"/>
      <c r="V7" s="52"/>
      <c r="W7" s="52"/>
      <c r="X7" s="52"/>
      <c r="Y7" s="82"/>
      <c r="Z7" s="82"/>
      <c r="AA7" s="82"/>
      <c r="AB7" s="82"/>
      <c r="AC7" s="82"/>
      <c r="AD7" s="82"/>
      <c r="AE7" s="82"/>
      <c r="AF7" s="8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J7" s="78"/>
      <c r="BK7" s="322" t="s">
        <v>206</v>
      </c>
      <c r="BL7" s="331">
        <v>3</v>
      </c>
      <c r="BM7" s="331">
        <v>3</v>
      </c>
      <c r="BN7" s="331">
        <v>0</v>
      </c>
      <c r="BO7" s="331">
        <v>0</v>
      </c>
      <c r="BP7" s="331">
        <v>14</v>
      </c>
      <c r="BQ7" s="331">
        <v>5</v>
      </c>
      <c r="BR7" s="331">
        <v>9</v>
      </c>
      <c r="BS7" s="331">
        <v>9</v>
      </c>
      <c r="BT7" s="83"/>
    </row>
    <row r="8" spans="1:72" ht="35.1" customHeight="1" thickBot="1" x14ac:dyDescent="0.35">
      <c r="A8" s="72"/>
      <c r="B8" s="301" t="s">
        <v>246</v>
      </c>
      <c r="C8" s="73">
        <v>0.66666666666666663</v>
      </c>
      <c r="D8" s="341"/>
      <c r="E8" s="321" t="s">
        <v>206</v>
      </c>
      <c r="F8" s="333">
        <v>3</v>
      </c>
      <c r="G8" s="333">
        <v>0</v>
      </c>
      <c r="H8" s="321" t="s">
        <v>204</v>
      </c>
      <c r="I8" s="52"/>
      <c r="J8" s="52"/>
      <c r="K8" s="84" t="e">
        <f>VLOOKUP(1,$W$5:$BA$10,2,FALSE)</f>
        <v>#N/A</v>
      </c>
      <c r="L8" s="85" t="e">
        <f>VLOOKUP(1,$W$5:$BA$10,19,FALSE)</f>
        <v>#N/A</v>
      </c>
      <c r="M8" s="86" t="e">
        <f>IF(VLOOKUP(1,$W$5:$BA$10,30,FALSE)&gt;0,VLOOKUP(1,$W$5:$BA$10,26,FALSE),"")</f>
        <v>#N/A</v>
      </c>
      <c r="N8" s="86" t="e">
        <f>IF(VLOOKUP(1,$W$5:$BA$10,30,FALSE)&gt;0,VLOOKUP(1,$W$5:$BA$10,27,FALSE),"")</f>
        <v>#N/A</v>
      </c>
      <c r="O8" s="86" t="e">
        <f>IF(VLOOKUP(1,$W$5:$BA$10,30,FALSE)&gt;0,VLOOKUP(1,$W$5:$BA$10,28,FALSE),"")</f>
        <v>#N/A</v>
      </c>
      <c r="P8" s="86" t="e">
        <f>SUM(Q8:S8)</f>
        <v>#N/A</v>
      </c>
      <c r="Q8" s="86" t="e">
        <f>VLOOKUP(1,$W$5:$BA$10,20,FALSE)</f>
        <v>#N/A</v>
      </c>
      <c r="R8" s="86" t="e">
        <f>VLOOKUP(1,$W$5:$BA$10,21,FALSE)</f>
        <v>#N/A</v>
      </c>
      <c r="S8" s="86" t="e">
        <f>VLOOKUP(1,$W$5:$BA$10,22,FALSE)</f>
        <v>#N/A</v>
      </c>
      <c r="T8" s="86" t="e">
        <f>VLOOKUP(1,$W$5:$BA$10,23,FALSE)</f>
        <v>#N/A</v>
      </c>
      <c r="U8" s="86" t="e">
        <f>VLOOKUP(1,$W$5:$BA$10,24,FALSE)</f>
        <v>#N/A</v>
      </c>
      <c r="V8" s="52"/>
      <c r="W8" s="52" t="e">
        <f>RANK(BA8,BA5:BA10)</f>
        <v>#REF!</v>
      </c>
      <c r="X8" s="52" t="e">
        <f>#REF!</f>
        <v>#REF!</v>
      </c>
      <c r="Y8" s="82"/>
      <c r="Z8" s="82"/>
      <c r="AA8" s="82"/>
      <c r="AB8" s="82"/>
      <c r="AC8" s="82" t="e">
        <f>IF(#REF!=FALSE,FALSE,#REF!)</f>
        <v>#REF!</v>
      </c>
      <c r="AD8" s="82" t="e">
        <f>IF(#REF!=FALSE,FALSE,#REF!)</f>
        <v>#REF!</v>
      </c>
      <c r="AE8" s="82"/>
      <c r="AF8" s="82"/>
      <c r="AG8" s="52" t="b">
        <f>(IF(Z8=FALSE,FALSE,IF(Y8&gt;Z8,3,IF(Y8=Z8,1,0))))</f>
        <v>0</v>
      </c>
      <c r="AH8" s="52"/>
      <c r="AI8" s="52" t="e">
        <f>(IF(AD8=FALSE,FALSE,IF(AC8&gt;AD8,3,IF(AC8=AD8,1,0))))</f>
        <v>#REF!</v>
      </c>
      <c r="AJ8" s="52" t="b">
        <f>(IF(AF8=FALSE,FALSE,IF(AE8&gt;AF8,3,IF(AE8=AF8,1,0))))</f>
        <v>0</v>
      </c>
      <c r="AK8" s="52">
        <f>IF(AO8=AO5,1,0)</f>
        <v>0</v>
      </c>
      <c r="AL8" s="52"/>
      <c r="AM8" s="52">
        <f>IF(AO8=AO9,1,0)</f>
        <v>1</v>
      </c>
      <c r="AN8" s="52">
        <f>IF(AO8=AO10,1,0)</f>
        <v>0</v>
      </c>
      <c r="AO8" s="52">
        <f>SUM(AP8*3+AQ8)</f>
        <v>0</v>
      </c>
      <c r="AP8" s="52">
        <f>COUNTIF(AG8:AJ8,3)+COUNTIF(AH5:AH10,0)</f>
        <v>0</v>
      </c>
      <c r="AQ8" s="52">
        <f>COUNTIF(AG8:AJ8,1)+COUNTIF(AH5:AH10,1)</f>
        <v>0</v>
      </c>
      <c r="AR8" s="52">
        <f>COUNTIF(AG8:AJ8,0)+COUNTIF(AH5:AH10,3)</f>
        <v>1</v>
      </c>
      <c r="AS8" s="52" t="e">
        <f>Y8+AA8+AC8+AE8+SUM(AB5:AB10)</f>
        <v>#REF!</v>
      </c>
      <c r="AT8" s="52" t="e">
        <f>Z8+AB8+AD8+AF8+SUM(AA5:AA10)</f>
        <v>#REF!</v>
      </c>
      <c r="AU8" s="52" t="e">
        <f>AS8-AT8</f>
        <v>#REF!</v>
      </c>
      <c r="AV8" s="52" t="e">
        <f>AK8*AG8+AM8*AI8+AN8*AJ8+AL5*#REF!+AL9*#REF!+AL10*#REF!</f>
        <v>#REF!</v>
      </c>
      <c r="AW8" s="52" t="e">
        <f>AK8*Y8+AM8*AC8+AN8*AE8+AL5*AB5+AL9*AB9+AL10*AB10</f>
        <v>#REF!</v>
      </c>
      <c r="AX8" s="52" t="e">
        <f>AK8*Z8+AM8*AD8+AN8*AF8+AL5*AA5+AL9*AA9+AL10*AA10</f>
        <v>#REF!</v>
      </c>
      <c r="AY8" s="52" t="e">
        <f>AW8-AX8</f>
        <v>#REF!</v>
      </c>
      <c r="AZ8" s="52" t="e">
        <f>SUM(AV8:AX8)</f>
        <v>#REF!</v>
      </c>
      <c r="BA8" s="52" t="e">
        <f>AO8*1000000+AU8*10000+AS8*100+AV8+AY8/100+AW8/10000+4/1000000</f>
        <v>#REF!</v>
      </c>
      <c r="BJ8" s="78"/>
      <c r="BK8" s="318" t="s">
        <v>203</v>
      </c>
      <c r="BL8" s="330">
        <v>4</v>
      </c>
      <c r="BM8" s="330">
        <v>2</v>
      </c>
      <c r="BN8" s="330">
        <v>2</v>
      </c>
      <c r="BO8" s="330">
        <v>0</v>
      </c>
      <c r="BP8" s="330">
        <v>15</v>
      </c>
      <c r="BQ8" s="330">
        <v>13</v>
      </c>
      <c r="BR8" s="330">
        <v>2</v>
      </c>
      <c r="BS8" s="330">
        <v>6</v>
      </c>
      <c r="BT8" s="88"/>
    </row>
    <row r="9" spans="1:72" ht="35.1" customHeight="1" thickBot="1" x14ac:dyDescent="0.35">
      <c r="A9" s="72"/>
      <c r="B9" s="301">
        <v>45210</v>
      </c>
      <c r="C9" s="80">
        <v>0.70833333333333337</v>
      </c>
      <c r="D9" s="341"/>
      <c r="E9" s="321" t="s">
        <v>225</v>
      </c>
      <c r="F9" s="333">
        <v>4</v>
      </c>
      <c r="G9" s="333">
        <v>1</v>
      </c>
      <c r="H9" s="322" t="s">
        <v>203</v>
      </c>
      <c r="I9" s="52"/>
      <c r="J9" s="52"/>
      <c r="K9" s="89" t="e">
        <f>VLOOKUP(2,$W$5:$BA$10,2,FALSE)</f>
        <v>#N/A</v>
      </c>
      <c r="L9" s="85" t="e">
        <f>VLOOKUP(2,$W$5:$BA$10,19,FALSE)</f>
        <v>#N/A</v>
      </c>
      <c r="M9" s="86" t="e">
        <f>IF(VLOOKUP(2,$W$5:$BA$10,30,FALSE)&gt;0,VLOOKUP(2,$W$5:$BA$10,26,FALSE),"")</f>
        <v>#N/A</v>
      </c>
      <c r="N9" s="86" t="e">
        <f>IF(VLOOKUP(2,$W$5:$BA$10,30,FALSE)&gt;0,VLOOKUP(2,$W$5:$BA$10,27,FALSE),"")</f>
        <v>#N/A</v>
      </c>
      <c r="O9" s="86" t="e">
        <f>IF(VLOOKUP(2,$W$5:$BA$10,30,FALSE)&gt;0,VLOOKUP(2,$W$5:$BA$10,28,FALSE),"")</f>
        <v>#N/A</v>
      </c>
      <c r="P9" s="86" t="e">
        <f>SUM(Q9:S9)</f>
        <v>#N/A</v>
      </c>
      <c r="Q9" s="86" t="e">
        <f>VLOOKUP(2,$W$5:$BA$10,20,FALSE)</f>
        <v>#N/A</v>
      </c>
      <c r="R9" s="86" t="e">
        <f>VLOOKUP(2,$W$5:$BA$10,21,FALSE)</f>
        <v>#N/A</v>
      </c>
      <c r="S9" s="86" t="e">
        <f>VLOOKUP(2,$W$5:$BA$10,22,FALSE)</f>
        <v>#N/A</v>
      </c>
      <c r="T9" s="86" t="e">
        <f>VLOOKUP(2,$W$5:$BA$10,23,FALSE)</f>
        <v>#N/A</v>
      </c>
      <c r="U9" s="86" t="e">
        <f>VLOOKUP(2,$W$5:$BA$10,24,FALSE)</f>
        <v>#N/A</v>
      </c>
      <c r="V9" s="52"/>
      <c r="W9" s="52" t="e">
        <f>RANK(BA9,BA5:BA10)</f>
        <v>#REF!</v>
      </c>
      <c r="X9" s="52" t="e">
        <f>#REF!</f>
        <v>#REF!</v>
      </c>
      <c r="Y9" s="82"/>
      <c r="Z9" s="82"/>
      <c r="AA9" s="82"/>
      <c r="AB9" s="82"/>
      <c r="AC9" s="82"/>
      <c r="AD9" s="82"/>
      <c r="AE9" s="82">
        <f>IF(F4=FALSE,FALSE,F4)</f>
        <v>2</v>
      </c>
      <c r="AF9" s="82">
        <f>IF(G4=FALSE,FALSE,G4)</f>
        <v>6</v>
      </c>
      <c r="AG9" s="52" t="b">
        <f>(IF(Z9=FALSE,FALSE,IF(Y9&gt;Z9,3,IF(Y9=Z9,1,0))))</f>
        <v>0</v>
      </c>
      <c r="AH9" s="52" t="b">
        <f>(IF(AB9=FALSE,FALSE,IF(AA9&gt;AB9,3,IF(AA9=AB9,1,0))))</f>
        <v>0</v>
      </c>
      <c r="AI9" s="52"/>
      <c r="AJ9" s="52">
        <f>(IF(AF9=FALSE,FALSE,IF(AE9&gt;AF9,3,IF(AE9=AF9,1,0))))</f>
        <v>0</v>
      </c>
      <c r="AK9" s="52">
        <f>IF(AO9=AO5,1,0)</f>
        <v>0</v>
      </c>
      <c r="AL9" s="52">
        <f>IF(AO9=AO8,1,0)</f>
        <v>1</v>
      </c>
      <c r="AM9" s="52"/>
      <c r="AN9" s="52">
        <f>IF(AO9=AO10,1,0)</f>
        <v>0</v>
      </c>
      <c r="AO9" s="52">
        <f>SUM(AP9*3+AQ9)</f>
        <v>0</v>
      </c>
      <c r="AP9" s="52">
        <f>COUNTIF(AG9:AJ9,3)+COUNTIF(AI5:AI10,0)</f>
        <v>0</v>
      </c>
      <c r="AQ9" s="52">
        <f>COUNTIF(AG9:AJ9,1)+COUNTIF(AI5:AI10,1)</f>
        <v>0</v>
      </c>
      <c r="AR9" s="52">
        <f>COUNTIF(AG9:AJ9,0)+COUNTIF(AI5:AI10,3)</f>
        <v>2</v>
      </c>
      <c r="AS9" s="52" t="e">
        <f>Y9+AA9+AC9+AE9+SUM(AD5:AD10)</f>
        <v>#REF!</v>
      </c>
      <c r="AT9" s="52" t="e">
        <f>Z9+AB9+AD9+AF9+SUM(AC5:AC10)</f>
        <v>#REF!</v>
      </c>
      <c r="AU9" s="52" t="e">
        <f>AS9-AT9</f>
        <v>#REF!</v>
      </c>
      <c r="AV9" s="52" t="e">
        <f>AK9*AG9+AL9*AH9+AN9*AJ9+AM5*#REF!+AM8*#REF!+AM10*#REF!</f>
        <v>#REF!</v>
      </c>
      <c r="AW9" s="52" t="e">
        <f>AK9*Y9+AL9*AA9+AN9*AE9+AM5*AD5+AM8*AD8+AM10*AD10</f>
        <v>#REF!</v>
      </c>
      <c r="AX9" s="52" t="e">
        <f>AK9*Z9+AL9*AB9+AN9*AF9+AM5*AC5+AM8*AC8+AM10*AC10</f>
        <v>#REF!</v>
      </c>
      <c r="AY9" s="52" t="e">
        <f>AW9-AX9</f>
        <v>#REF!</v>
      </c>
      <c r="AZ9" s="52" t="e">
        <f>SUM(AV9:AX9)</f>
        <v>#REF!</v>
      </c>
      <c r="BA9" s="52" t="e">
        <f>AO9*1000000+AU9*10000+AS9*100+AV9+AY9/100+AW9/10000+1/1000000</f>
        <v>#REF!</v>
      </c>
      <c r="BJ9" s="78"/>
      <c r="BK9" s="321" t="s">
        <v>204</v>
      </c>
      <c r="BL9" s="330">
        <v>4</v>
      </c>
      <c r="BM9" s="330">
        <v>1</v>
      </c>
      <c r="BN9" s="330">
        <v>3</v>
      </c>
      <c r="BO9" s="330">
        <v>0</v>
      </c>
      <c r="BP9" s="330">
        <v>6</v>
      </c>
      <c r="BQ9" s="330">
        <v>13</v>
      </c>
      <c r="BR9" s="330">
        <v>-7</v>
      </c>
      <c r="BS9" s="330">
        <v>3</v>
      </c>
      <c r="BT9" s="91"/>
    </row>
    <row r="10" spans="1:72" ht="35.1" customHeight="1" thickBot="1" x14ac:dyDescent="0.35">
      <c r="A10" s="72"/>
      <c r="B10" s="301">
        <v>45213</v>
      </c>
      <c r="C10" s="80">
        <v>0.58333333333333337</v>
      </c>
      <c r="D10" s="341"/>
      <c r="E10" s="322" t="s">
        <v>224</v>
      </c>
      <c r="F10" s="333">
        <v>1</v>
      </c>
      <c r="G10" s="333">
        <v>8</v>
      </c>
      <c r="H10" s="321" t="s">
        <v>203</v>
      </c>
      <c r="I10" s="52"/>
      <c r="J10" s="52"/>
      <c r="K10" s="92" t="e">
        <f>VLOOKUP(3,$W$5:$BA$10,2,FALSE)</f>
        <v>#N/A</v>
      </c>
      <c r="L10" s="93" t="e">
        <f>VLOOKUP(3,$W$5:$BA$10,19,FALSE)</f>
        <v>#N/A</v>
      </c>
      <c r="M10" s="94" t="e">
        <f>IF(VLOOKUP(3,$W$5:$BA$10,30,FALSE)&gt;0,VLOOKUP(3,$W$5:$BA$10,26,FALSE),"")</f>
        <v>#N/A</v>
      </c>
      <c r="N10" s="94" t="e">
        <f>IF(VLOOKUP(3,$W$5:$BA$10,30,FALSE)&gt;0,VLOOKUP(3,$W$5:$BA$10,27,FALSE),"")</f>
        <v>#N/A</v>
      </c>
      <c r="O10" s="94" t="e">
        <f>IF(VLOOKUP(3,$W$5:$BA$10,30,FALSE)&gt;0,VLOOKUP(3,$W$5:$BA$10,28,FALSE),"")</f>
        <v>#N/A</v>
      </c>
      <c r="P10" s="94" t="e">
        <f>SUM(Q10:S10)</f>
        <v>#N/A</v>
      </c>
      <c r="Q10" s="94" t="e">
        <f>VLOOKUP(3,$W$5:$BA$10,20,FALSE)</f>
        <v>#N/A</v>
      </c>
      <c r="R10" s="94" t="e">
        <f>VLOOKUP(3,$W$5:$BA$10,21,FALSE)</f>
        <v>#N/A</v>
      </c>
      <c r="S10" s="94" t="e">
        <f>VLOOKUP(3,$W$5:$BA$10,22,FALSE)</f>
        <v>#N/A</v>
      </c>
      <c r="T10" s="94" t="e">
        <f>VLOOKUP(3,$W$5:$BA$10,23,FALSE)</f>
        <v>#N/A</v>
      </c>
      <c r="U10" s="94" t="e">
        <f>VLOOKUP(3,$W$5:$BA$10,24,FALSE)</f>
        <v>#N/A</v>
      </c>
      <c r="V10" s="52"/>
      <c r="W10" s="52" t="e">
        <f>RANK(BA10,BA5:BA10)</f>
        <v>#REF!</v>
      </c>
      <c r="X10" s="52" t="e">
        <f>#REF!</f>
        <v>#REF!</v>
      </c>
      <c r="Y10" s="82">
        <f>IF(F9=FALSE,FALSE,F9)</f>
        <v>4</v>
      </c>
      <c r="Z10" s="82">
        <f>IF(G9=FALSE,FALSE,G9)</f>
        <v>1</v>
      </c>
      <c r="AA10" s="82">
        <f>IF(F8=FALSE,FALSE,F8)</f>
        <v>3</v>
      </c>
      <c r="AB10" s="82">
        <f>IF(G8=FALSE,FALSE,G8)</f>
        <v>0</v>
      </c>
      <c r="AC10" s="82"/>
      <c r="AD10" s="82"/>
      <c r="AE10" s="82"/>
      <c r="AF10" s="82"/>
      <c r="AG10" s="52">
        <f>(IF(Z10=FALSE,FALSE,IF(Y10&gt;Z10,3,IF(Y10=Z10,1,0))))</f>
        <v>3</v>
      </c>
      <c r="AH10" s="52">
        <f>(IF(AB10=FALSE,FALSE,IF(AA10&gt;AB10,3,IF(AA10=AB10,1,0))))</f>
        <v>3</v>
      </c>
      <c r="AI10" s="52" t="b">
        <f>(IF(AD10=FALSE,FALSE,IF(AC10&gt;AD10,3,IF(AC10=AD714,1,0))))</f>
        <v>0</v>
      </c>
      <c r="AJ10" s="52"/>
      <c r="AK10" s="52">
        <f>IF(AO10=AO5,1,0)</f>
        <v>0</v>
      </c>
      <c r="AL10" s="52">
        <f>IF(AO10=AO8,1,0)</f>
        <v>0</v>
      </c>
      <c r="AM10" s="52">
        <f>IF(AO10=AO9,1,0)</f>
        <v>0</v>
      </c>
      <c r="AN10" s="52"/>
      <c r="AO10" s="52">
        <f>SUM(AP10*3+AQ10)</f>
        <v>9</v>
      </c>
      <c r="AP10" s="52">
        <f>COUNTIF(AG10:AJ10,3)+COUNTIF(AJ5:AJ10,0)</f>
        <v>3</v>
      </c>
      <c r="AQ10" s="52">
        <f>COUNTIF(AG10:AJ10,1)+COUNTIF(AJ5:AJ10,1)</f>
        <v>0</v>
      </c>
      <c r="AR10" s="52">
        <f>COUNTIF(AG10:AJ10,0)+COUNTIF(AJ5:AJ10,3)</f>
        <v>0</v>
      </c>
      <c r="AS10" s="52">
        <f>Y10+AA10+AC10+AE10+SUM(AF5:AF10)</f>
        <v>13</v>
      </c>
      <c r="AT10" s="52">
        <f>Z10+AB10+AD10+AF10+SUM(AE5:AE10)</f>
        <v>3</v>
      </c>
      <c r="AU10" s="52">
        <f>AS10-AT10</f>
        <v>10</v>
      </c>
      <c r="AV10" s="52" t="e">
        <f>AK10*AG10+AL10*AH10+AM10*AI10+AN5*#REF!+AN8*#REF!+AN9*#REF!</f>
        <v>#REF!</v>
      </c>
      <c r="AW10" s="52">
        <f>Y10*AK10+AL10*AA10+AM10*AC10+AN5*AF5+AN8*AF8+AN9*AF9</f>
        <v>0</v>
      </c>
      <c r="AX10" s="52">
        <f>AK10*Z10+AL10*AB10+AM10*AD10+AN5*AE5+AN8*AE8+AN9*AE9</f>
        <v>0</v>
      </c>
      <c r="AY10" s="52">
        <f>AW10-AX10</f>
        <v>0</v>
      </c>
      <c r="AZ10" s="52" t="e">
        <f>SUM(AV10:AX10)</f>
        <v>#REF!</v>
      </c>
      <c r="BA10" s="52" t="e">
        <f>AO10*1000000+AU10*10000+AS10*100+AV10+AY10/100+AW10/10000+3/1000000</f>
        <v>#REF!</v>
      </c>
      <c r="BJ10" s="78"/>
      <c r="BK10" s="321" t="s">
        <v>205</v>
      </c>
      <c r="BL10" s="331">
        <v>3</v>
      </c>
      <c r="BM10" s="331">
        <v>0</v>
      </c>
      <c r="BN10" s="331">
        <v>3</v>
      </c>
      <c r="BO10" s="331">
        <v>0</v>
      </c>
      <c r="BP10" s="331">
        <v>6</v>
      </c>
      <c r="BQ10" s="331">
        <v>22</v>
      </c>
      <c r="BR10" s="331">
        <v>-16</v>
      </c>
      <c r="BS10" s="331">
        <v>0</v>
      </c>
      <c r="BT10" s="91"/>
    </row>
    <row r="11" spans="1:72" ht="35.1" customHeight="1" thickBot="1" x14ac:dyDescent="0.35">
      <c r="A11" s="72"/>
      <c r="B11" s="301" t="s">
        <v>247</v>
      </c>
      <c r="C11" s="80">
        <v>0.5</v>
      </c>
      <c r="D11" s="341"/>
      <c r="E11" s="321" t="s">
        <v>206</v>
      </c>
      <c r="F11" s="333">
        <v>5</v>
      </c>
      <c r="G11" s="333">
        <v>3</v>
      </c>
      <c r="H11" s="318" t="s">
        <v>225</v>
      </c>
      <c r="I11" s="52"/>
      <c r="J11" s="52"/>
      <c r="K11" s="92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J11" s="78"/>
      <c r="BK11" s="320"/>
      <c r="BL11" s="332"/>
      <c r="BM11" s="331"/>
      <c r="BN11" s="331"/>
      <c r="BO11" s="331"/>
      <c r="BP11" s="331"/>
      <c r="BQ11" s="331"/>
      <c r="BR11" s="331"/>
      <c r="BS11" s="331"/>
      <c r="BT11" s="91"/>
    </row>
    <row r="12" spans="1:72" ht="35.1" customHeight="1" thickBot="1" x14ac:dyDescent="0.35">
      <c r="A12" s="72"/>
      <c r="B12" s="302" t="s">
        <v>250</v>
      </c>
      <c r="C12" s="80" t="s">
        <v>243</v>
      </c>
      <c r="D12" s="341"/>
      <c r="E12" s="321" t="s">
        <v>223</v>
      </c>
      <c r="F12" s="333">
        <v>0</v>
      </c>
      <c r="G12" s="333">
        <v>3</v>
      </c>
      <c r="H12" s="318" t="s">
        <v>225</v>
      </c>
      <c r="I12" s="52"/>
      <c r="J12" s="52"/>
      <c r="K12" s="92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J12" s="78"/>
      <c r="BK12" s="321"/>
      <c r="BL12" s="332"/>
      <c r="BM12" s="331"/>
      <c r="BN12" s="331"/>
      <c r="BO12" s="331"/>
      <c r="BP12" s="331"/>
      <c r="BQ12" s="331"/>
      <c r="BR12" s="331"/>
      <c r="BS12" s="331"/>
      <c r="BT12" s="91"/>
    </row>
    <row r="13" spans="1:72" ht="35.1" customHeight="1" thickBot="1" x14ac:dyDescent="0.35">
      <c r="A13" s="72"/>
      <c r="B13" s="302" t="s">
        <v>250</v>
      </c>
      <c r="C13" s="80" t="s">
        <v>244</v>
      </c>
      <c r="D13" s="341"/>
      <c r="E13" s="323" t="s">
        <v>224</v>
      </c>
      <c r="F13" s="333"/>
      <c r="G13" s="333"/>
      <c r="H13" s="318" t="s">
        <v>206</v>
      </c>
      <c r="I13" s="52"/>
      <c r="J13" s="52"/>
      <c r="K13" s="92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J13" s="78"/>
      <c r="BK13" s="322"/>
      <c r="BL13" s="331"/>
      <c r="BM13" s="331"/>
      <c r="BN13" s="331"/>
      <c r="BO13" s="331"/>
      <c r="BP13" s="331"/>
      <c r="BQ13" s="331"/>
      <c r="BR13" s="331"/>
      <c r="BS13" s="331"/>
      <c r="BT13" s="91"/>
    </row>
    <row r="14" spans="1:72" ht="35.1" customHeight="1" thickBot="1" x14ac:dyDescent="0.35">
      <c r="A14" s="72"/>
      <c r="B14" s="302"/>
      <c r="C14" s="80"/>
      <c r="D14" s="341"/>
      <c r="E14" s="324"/>
      <c r="F14" s="325"/>
      <c r="G14" s="325"/>
      <c r="H14" s="324"/>
      <c r="I14" s="52"/>
      <c r="J14" s="52"/>
      <c r="K14" s="92"/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J14" s="78"/>
      <c r="BK14" s="318"/>
      <c r="BL14" s="330"/>
      <c r="BM14" s="330"/>
      <c r="BN14" s="330"/>
      <c r="BO14" s="330"/>
      <c r="BP14" s="330"/>
      <c r="BQ14" s="330"/>
      <c r="BR14" s="330"/>
      <c r="BS14" s="330"/>
      <c r="BT14" s="91"/>
    </row>
    <row r="15" spans="1:72" ht="35.1" customHeight="1" thickBot="1" x14ac:dyDescent="0.35">
      <c r="A15" s="72"/>
      <c r="B15" s="302"/>
      <c r="C15" s="80"/>
      <c r="D15" s="341"/>
      <c r="E15" s="321"/>
      <c r="F15" s="300"/>
      <c r="G15" s="300"/>
      <c r="H15" s="318"/>
      <c r="I15" s="52"/>
      <c r="J15" s="52"/>
      <c r="K15" s="92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J15" s="78"/>
      <c r="BK15" s="321"/>
      <c r="BL15" s="330"/>
      <c r="BM15" s="330"/>
      <c r="BN15" s="330"/>
      <c r="BO15" s="330"/>
      <c r="BP15" s="330"/>
      <c r="BQ15" s="330"/>
      <c r="BR15" s="330"/>
      <c r="BS15" s="330"/>
      <c r="BT15" s="91"/>
    </row>
    <row r="16" spans="1:72" ht="35.1" customHeight="1" thickBot="1" x14ac:dyDescent="0.35">
      <c r="A16" s="72"/>
      <c r="B16" s="302"/>
      <c r="C16" s="80"/>
      <c r="D16" s="341"/>
      <c r="E16" s="321"/>
      <c r="F16" s="300"/>
      <c r="G16" s="300"/>
      <c r="H16" s="318"/>
      <c r="I16" s="52"/>
      <c r="J16" s="52"/>
      <c r="K16" s="92"/>
      <c r="L16" s="93"/>
      <c r="M16" s="94"/>
      <c r="N16" s="94"/>
      <c r="O16" s="94"/>
      <c r="P16" s="94"/>
      <c r="Q16" s="94"/>
      <c r="R16" s="94"/>
      <c r="S16" s="94"/>
      <c r="T16" s="94"/>
      <c r="U16" s="94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J16" s="78"/>
      <c r="BK16" s="321"/>
      <c r="BL16" s="331"/>
      <c r="BM16" s="331"/>
      <c r="BN16" s="331"/>
      <c r="BO16" s="331"/>
      <c r="BP16" s="331"/>
      <c r="BQ16" s="331"/>
      <c r="BR16" s="331"/>
      <c r="BS16" s="331"/>
      <c r="BT16" s="91"/>
    </row>
    <row r="17" spans="1:72" ht="35.1" customHeight="1" thickBot="1" x14ac:dyDescent="0.35">
      <c r="A17" s="72"/>
      <c r="B17" s="302"/>
      <c r="C17" s="80"/>
      <c r="D17" s="341"/>
      <c r="E17" s="318"/>
      <c r="F17" s="300"/>
      <c r="G17" s="300"/>
      <c r="H17" s="318"/>
      <c r="I17" s="52"/>
      <c r="J17" s="52"/>
      <c r="K17" s="92"/>
      <c r="L17" s="93"/>
      <c r="M17" s="94"/>
      <c r="N17" s="94"/>
      <c r="O17" s="94"/>
      <c r="P17" s="94"/>
      <c r="Q17" s="94"/>
      <c r="R17" s="94"/>
      <c r="S17" s="94"/>
      <c r="T17" s="94"/>
      <c r="U17" s="94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J17" s="78"/>
      <c r="BK17" s="321"/>
      <c r="BL17" s="328"/>
      <c r="BM17" s="326"/>
      <c r="BN17" s="326"/>
      <c r="BO17" s="326"/>
      <c r="BP17" s="326"/>
      <c r="BQ17" s="326"/>
      <c r="BR17" s="326"/>
      <c r="BS17" s="326"/>
      <c r="BT17" s="91"/>
    </row>
    <row r="18" spans="1:72" ht="35.1" customHeight="1" thickBot="1" x14ac:dyDescent="0.35">
      <c r="A18" s="72"/>
      <c r="B18" s="302"/>
      <c r="C18" s="80"/>
      <c r="D18" s="341"/>
      <c r="E18" s="318"/>
      <c r="F18" s="300"/>
      <c r="G18" s="300"/>
      <c r="H18" s="318"/>
      <c r="I18" s="52"/>
      <c r="J18" s="52"/>
      <c r="K18" s="92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J18" s="78"/>
      <c r="BK18" s="323"/>
      <c r="BL18" s="328"/>
      <c r="BM18" s="326"/>
      <c r="BN18" s="326"/>
      <c r="BO18" s="326"/>
      <c r="BP18" s="326"/>
      <c r="BQ18" s="326"/>
      <c r="BR18" s="326"/>
      <c r="BS18" s="326"/>
      <c r="BT18" s="91"/>
    </row>
    <row r="19" spans="1:72" ht="35.1" customHeight="1" thickBot="1" x14ac:dyDescent="0.35">
      <c r="A19" s="72"/>
      <c r="B19" s="302"/>
      <c r="C19" s="80"/>
      <c r="D19" s="341"/>
      <c r="E19" s="318"/>
      <c r="F19" s="300"/>
      <c r="G19" s="300"/>
      <c r="H19" s="318"/>
      <c r="I19" s="52"/>
      <c r="J19" s="52"/>
      <c r="K19" s="92"/>
      <c r="L19" s="93"/>
      <c r="M19" s="94"/>
      <c r="N19" s="94"/>
      <c r="O19" s="94"/>
      <c r="P19" s="94"/>
      <c r="Q19" s="94"/>
      <c r="R19" s="94"/>
      <c r="S19" s="94"/>
      <c r="T19" s="94"/>
      <c r="U19" s="94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J19" s="78"/>
      <c r="BK19" s="321"/>
      <c r="BL19" s="328"/>
      <c r="BM19" s="326"/>
      <c r="BN19" s="326"/>
      <c r="BO19" s="326"/>
      <c r="BP19" s="326"/>
      <c r="BQ19" s="326"/>
      <c r="BR19" s="326"/>
      <c r="BS19" s="326"/>
      <c r="BT19" s="91"/>
    </row>
    <row r="20" spans="1:72" ht="35.1" customHeight="1" thickBot="1" x14ac:dyDescent="0.35">
      <c r="A20" s="72"/>
      <c r="B20" s="303"/>
      <c r="C20" s="96"/>
      <c r="D20" s="341"/>
      <c r="E20" s="318"/>
      <c r="F20" s="300"/>
      <c r="G20" s="300"/>
      <c r="H20" s="318"/>
      <c r="I20" s="52"/>
      <c r="J20" s="52"/>
      <c r="K20" s="92"/>
      <c r="L20" s="93"/>
      <c r="M20" s="94"/>
      <c r="N20" s="94"/>
      <c r="O20" s="94"/>
      <c r="P20" s="94"/>
      <c r="Q20" s="94"/>
      <c r="R20" s="94"/>
      <c r="S20" s="94"/>
      <c r="T20" s="94"/>
      <c r="U20" s="94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J20" s="78"/>
      <c r="BK20" s="321"/>
      <c r="BL20" s="328"/>
      <c r="BM20" s="327"/>
      <c r="BN20" s="327"/>
      <c r="BO20" s="327"/>
      <c r="BP20" s="327"/>
      <c r="BQ20" s="327"/>
      <c r="BR20" s="327"/>
      <c r="BS20" s="327"/>
      <c r="BT20" s="91"/>
    </row>
    <row r="21" spans="1:72" s="71" customFormat="1" ht="20.100000000000001" customHeight="1" thickTop="1" thickBot="1" x14ac:dyDescent="1.1000000000000001">
      <c r="A21" s="98"/>
      <c r="B21" s="99"/>
      <c r="C21" s="100"/>
      <c r="D21" s="101"/>
      <c r="E21" s="102"/>
      <c r="F21" s="103"/>
      <c r="G21" s="103"/>
      <c r="H21" s="102"/>
      <c r="I21" s="61"/>
      <c r="J21" s="61"/>
      <c r="K21" s="61"/>
      <c r="L21" s="61"/>
      <c r="M21" s="61"/>
      <c r="N21" s="62"/>
      <c r="O21" s="63"/>
      <c r="P21" s="62"/>
      <c r="Q21" s="62"/>
      <c r="R21" s="64"/>
      <c r="S21" s="62"/>
      <c r="T21" s="62"/>
      <c r="U21" s="62"/>
      <c r="V21" s="62"/>
      <c r="W21" s="62"/>
      <c r="X21" s="65" t="s">
        <v>1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6"/>
      <c r="BC21" s="66"/>
      <c r="BD21" s="66"/>
      <c r="BE21" s="66"/>
      <c r="BF21" s="66"/>
      <c r="BG21" s="66"/>
      <c r="BH21" s="66"/>
      <c r="BI21" s="66"/>
      <c r="BJ21" s="67"/>
      <c r="BK21" s="104"/>
      <c r="BL21" s="105"/>
      <c r="BM21" s="105"/>
      <c r="BN21" s="105"/>
      <c r="BO21" s="105"/>
      <c r="BP21" s="105"/>
      <c r="BQ21" s="105"/>
      <c r="BR21" s="105"/>
      <c r="BS21" s="105"/>
      <c r="BT21" s="106"/>
    </row>
    <row r="22" spans="1:72" ht="35.1" customHeight="1" thickBot="1" x14ac:dyDescent="0.35">
      <c r="A22" s="72"/>
      <c r="B22" s="301">
        <v>45204</v>
      </c>
      <c r="C22" s="73">
        <v>0.66666666666666663</v>
      </c>
      <c r="D22" s="341" t="s">
        <v>12</v>
      </c>
      <c r="E22" s="321" t="s">
        <v>226</v>
      </c>
      <c r="F22" s="333">
        <v>10</v>
      </c>
      <c r="G22" s="333">
        <v>2</v>
      </c>
      <c r="H22" s="319" t="s">
        <v>228</v>
      </c>
      <c r="I22" s="52"/>
      <c r="J22" s="52"/>
      <c r="K22" s="355" t="s">
        <v>1</v>
      </c>
      <c r="L22" s="74"/>
      <c r="M22" s="74" t="s">
        <v>39</v>
      </c>
      <c r="N22" s="75"/>
      <c r="O22" s="76"/>
      <c r="P22" s="75"/>
      <c r="Q22" s="75"/>
      <c r="R22" s="75"/>
      <c r="S22" s="75"/>
      <c r="T22" s="75"/>
      <c r="U22" s="76"/>
      <c r="V22" s="52"/>
      <c r="W22" s="52"/>
      <c r="X22" s="77"/>
      <c r="Y22" s="52" t="s">
        <v>11</v>
      </c>
      <c r="Z22" s="52"/>
      <c r="AA22" s="52" t="s">
        <v>40</v>
      </c>
      <c r="AB22" s="52"/>
      <c r="AC22" s="52" t="s">
        <v>10</v>
      </c>
      <c r="AD22" s="52"/>
      <c r="AE22" s="52" t="s">
        <v>41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 t="s">
        <v>10</v>
      </c>
      <c r="AP22" s="52" t="s">
        <v>11</v>
      </c>
      <c r="AQ22" s="52" t="s">
        <v>12</v>
      </c>
      <c r="AR22" s="52" t="s">
        <v>13</v>
      </c>
      <c r="AS22" s="52" t="s">
        <v>1</v>
      </c>
      <c r="AT22" s="52" t="s">
        <v>14</v>
      </c>
      <c r="AU22" s="52" t="s">
        <v>42</v>
      </c>
      <c r="AV22" s="52" t="s">
        <v>16</v>
      </c>
      <c r="AW22" s="52" t="s">
        <v>17</v>
      </c>
      <c r="AX22" s="52" t="s">
        <v>18</v>
      </c>
      <c r="AY22" s="52" t="s">
        <v>43</v>
      </c>
      <c r="AZ22" s="52" t="s">
        <v>19</v>
      </c>
      <c r="BA22" s="52"/>
      <c r="BJ22" s="78"/>
      <c r="BK22" s="356" t="s">
        <v>12</v>
      </c>
      <c r="BL22" s="357" t="s">
        <v>36</v>
      </c>
      <c r="BM22" s="357" t="s">
        <v>11</v>
      </c>
      <c r="BN22" s="357" t="s">
        <v>13</v>
      </c>
      <c r="BO22" s="358" t="s">
        <v>12</v>
      </c>
      <c r="BP22" s="357" t="s">
        <v>1</v>
      </c>
      <c r="BQ22" s="357" t="s">
        <v>14</v>
      </c>
      <c r="BR22" s="358" t="s">
        <v>255</v>
      </c>
      <c r="BS22" s="357" t="s">
        <v>10</v>
      </c>
      <c r="BT22" s="79"/>
    </row>
    <row r="23" spans="1:72" ht="35.1" customHeight="1" thickBot="1" x14ac:dyDescent="0.35">
      <c r="A23" s="72"/>
      <c r="B23" s="301">
        <v>45204</v>
      </c>
      <c r="C23" s="73">
        <v>0.70833333333333337</v>
      </c>
      <c r="D23" s="341"/>
      <c r="E23" s="321" t="s">
        <v>227</v>
      </c>
      <c r="F23" s="333">
        <v>3</v>
      </c>
      <c r="G23" s="333">
        <v>3</v>
      </c>
      <c r="H23" s="320" t="s">
        <v>210</v>
      </c>
      <c r="I23" s="52"/>
      <c r="J23" s="52"/>
      <c r="K23" s="355"/>
      <c r="L23" s="81" t="s">
        <v>10</v>
      </c>
      <c r="M23" s="81" t="s">
        <v>10</v>
      </c>
      <c r="N23" s="81" t="s">
        <v>1</v>
      </c>
      <c r="O23" s="81" t="s">
        <v>14</v>
      </c>
      <c r="P23" s="81" t="s">
        <v>36</v>
      </c>
      <c r="Q23" s="81" t="s">
        <v>11</v>
      </c>
      <c r="R23" s="81" t="s">
        <v>12</v>
      </c>
      <c r="S23" s="81" t="s">
        <v>13</v>
      </c>
      <c r="T23" s="81" t="s">
        <v>1</v>
      </c>
      <c r="U23" s="81" t="s">
        <v>14</v>
      </c>
      <c r="V23" s="52"/>
      <c r="W23" s="52" t="e">
        <f>RANK(BA23,BA23:BA36)</f>
        <v>#REF!</v>
      </c>
      <c r="X23" s="52" t="e">
        <f>#REF!</f>
        <v>#REF!</v>
      </c>
      <c r="Y23" s="82"/>
      <c r="Z23" s="82"/>
      <c r="AA23" s="82">
        <f>IF(F22=FALSE,FALSE,F22)</f>
        <v>10</v>
      </c>
      <c r="AB23" s="82">
        <f>IF(G22=FALSE,FALSE,G22)</f>
        <v>2</v>
      </c>
      <c r="AC23" s="82">
        <f>IF(F24=FALSE,FALSE,F24)</f>
        <v>1</v>
      </c>
      <c r="AD23" s="82">
        <f>IF(G24=FALSE,FALSE,G24)</f>
        <v>2</v>
      </c>
      <c r="AE23" s="82"/>
      <c r="AF23" s="82"/>
      <c r="AG23" s="52"/>
      <c r="AH23" s="52">
        <f>(IF(AB23=FALSE,FALSE,IF(AA23&gt;AB23,3,IF(AA23=AB23,1,0))))</f>
        <v>3</v>
      </c>
      <c r="AI23" s="52">
        <f>(IF(AD23=FALSE,FALSE,IF(AC23&gt;AD23,3,IF(AC23=AD23,1,0))))</f>
        <v>0</v>
      </c>
      <c r="AJ23" s="52" t="b">
        <f>(IF(AF23=FALSE,FALSE,IF(AE23&gt;AF23,3,IF(AE23=AF23,1,0))))</f>
        <v>0</v>
      </c>
      <c r="AK23" s="52"/>
      <c r="AL23" s="52">
        <f>IF(AO23=AO24,1,0)</f>
        <v>0</v>
      </c>
      <c r="AM23" s="52">
        <f>IF(AO23=AO26,1,0)</f>
        <v>0</v>
      </c>
      <c r="AN23" s="52" t="e">
        <f>IF(AO23=#REF!,1,0)</f>
        <v>#REF!</v>
      </c>
      <c r="AO23" s="52">
        <f>SUM(AP23*3+AQ23)</f>
        <v>3</v>
      </c>
      <c r="AP23" s="52">
        <f>COUNTIF(AG23:AJ23,3)+COUNTIF(AG23:AG36,0)</f>
        <v>1</v>
      </c>
      <c r="AQ23" s="52">
        <f>COUNTIF(AG23:AJ23,1)+COUNTIF(AG23:AG36,1)</f>
        <v>0</v>
      </c>
      <c r="AR23" s="52">
        <f>COUNTIF(AG23:AJ23,0)+COUNTIF(AG23:AG36,3)</f>
        <v>1</v>
      </c>
      <c r="AS23" s="52">
        <f>Y23+AA23+AC23+AE23+SUM(Z23:Z36)</f>
        <v>11</v>
      </c>
      <c r="AT23" s="52">
        <f>Z23+AB23+AD23+AF23+SUM(Y23:Y36)</f>
        <v>4</v>
      </c>
      <c r="AU23" s="52">
        <f>AS23-AT23</f>
        <v>7</v>
      </c>
      <c r="AV23" s="52" t="e">
        <f>AL23*AH23+AM23*AI23+AN23*AJ23+AK24*#REF!+AK26*#REF!+#REF!*#REF!</f>
        <v>#REF!</v>
      </c>
      <c r="AW23" s="52" t="e">
        <f>AL23*AA23+AM23*AC23+AN23*AE23+AK24*Z24+AK26*Z26+#REF!*#REF!</f>
        <v>#REF!</v>
      </c>
      <c r="AX23" s="52" t="e">
        <f>AL23*AB23+AM23*AD23+AN23*AF23+AK24*Y24+AK26*Y26+#REF!*#REF!</f>
        <v>#REF!</v>
      </c>
      <c r="AY23" s="52" t="e">
        <f>AW23-AX23</f>
        <v>#REF!</v>
      </c>
      <c r="AZ23" s="52" t="e">
        <f>SUM(AV23:AX23)</f>
        <v>#REF!</v>
      </c>
      <c r="BA23" s="52" t="e">
        <f>AO23*1000000+AU23*10000+AS23*100+AV23+AY23/100+AW23/10000+2/1000000</f>
        <v>#REF!</v>
      </c>
      <c r="BJ23" s="78"/>
      <c r="BK23" s="356"/>
      <c r="BL23" s="357"/>
      <c r="BM23" s="357"/>
      <c r="BN23" s="357"/>
      <c r="BO23" s="359"/>
      <c r="BP23" s="357"/>
      <c r="BQ23" s="357"/>
      <c r="BR23" s="359"/>
      <c r="BS23" s="357"/>
      <c r="BT23" s="83"/>
    </row>
    <row r="24" spans="1:72" ht="35.1" customHeight="1" thickBot="1" x14ac:dyDescent="0.35">
      <c r="A24" s="72"/>
      <c r="B24" s="301" t="s">
        <v>241</v>
      </c>
      <c r="C24" s="73" t="s">
        <v>240</v>
      </c>
      <c r="D24" s="341"/>
      <c r="E24" s="322" t="s">
        <v>212</v>
      </c>
      <c r="F24" s="333">
        <v>1</v>
      </c>
      <c r="G24" s="333">
        <v>2</v>
      </c>
      <c r="H24" s="320" t="s">
        <v>210</v>
      </c>
      <c r="I24" s="52"/>
      <c r="J24" s="52"/>
      <c r="K24" s="84" t="e">
        <f>VLOOKUP(1,$W$5:$BA$10,2,FALSE)</f>
        <v>#N/A</v>
      </c>
      <c r="L24" s="85" t="e">
        <f>VLOOKUP(1,$W$5:$BA$10,19,FALSE)</f>
        <v>#N/A</v>
      </c>
      <c r="M24" s="86" t="e">
        <f>IF(VLOOKUP(1,$W$5:$BA$10,30,FALSE)&gt;0,VLOOKUP(1,$W$5:$BA$10,26,FALSE),"")</f>
        <v>#N/A</v>
      </c>
      <c r="N24" s="86" t="e">
        <f>IF(VLOOKUP(1,$W$5:$BA$10,30,FALSE)&gt;0,VLOOKUP(1,$W$5:$BA$10,27,FALSE),"")</f>
        <v>#N/A</v>
      </c>
      <c r="O24" s="86" t="e">
        <f>IF(VLOOKUP(1,$W$5:$BA$10,30,FALSE)&gt;0,VLOOKUP(1,$W$5:$BA$10,28,FALSE),"")</f>
        <v>#N/A</v>
      </c>
      <c r="P24" s="86" t="e">
        <f>SUM(Q24:S24)</f>
        <v>#N/A</v>
      </c>
      <c r="Q24" s="86" t="e">
        <f>VLOOKUP(1,$W$5:$BA$10,20,FALSE)</f>
        <v>#N/A</v>
      </c>
      <c r="R24" s="86" t="e">
        <f>VLOOKUP(1,$W$5:$BA$10,21,FALSE)</f>
        <v>#N/A</v>
      </c>
      <c r="S24" s="86" t="e">
        <f>VLOOKUP(1,$W$5:$BA$10,22,FALSE)</f>
        <v>#N/A</v>
      </c>
      <c r="T24" s="86" t="e">
        <f>VLOOKUP(1,$W$5:$BA$10,23,FALSE)</f>
        <v>#N/A</v>
      </c>
      <c r="U24" s="86" t="e">
        <f>VLOOKUP(1,$W$5:$BA$10,24,FALSE)</f>
        <v>#N/A</v>
      </c>
      <c r="V24" s="52"/>
      <c r="W24" s="52" t="e">
        <f>RANK(BA24,BA23:BA36)</f>
        <v>#REF!</v>
      </c>
      <c r="X24" s="52" t="e">
        <f>#REF!</f>
        <v>#REF!</v>
      </c>
      <c r="Y24" s="82"/>
      <c r="Z24" s="82"/>
      <c r="AA24" s="82"/>
      <c r="AB24" s="82"/>
      <c r="AC24" s="82" t="e">
        <f>IF(#REF!=FALSE,FALSE,#REF!)</f>
        <v>#REF!</v>
      </c>
      <c r="AD24" s="82" t="e">
        <f>IF(#REF!=FALSE,FALSE,#REF!)</f>
        <v>#REF!</v>
      </c>
      <c r="AE24" s="82"/>
      <c r="AF24" s="82"/>
      <c r="AG24" s="52" t="b">
        <f>(IF(Z24=FALSE,FALSE,IF(Y24&gt;Z24,3,IF(Y24=Z24,1,0))))</f>
        <v>0</v>
      </c>
      <c r="AH24" s="52"/>
      <c r="AI24" s="52" t="e">
        <f>(IF(AD24=FALSE,FALSE,IF(AC24&gt;AD24,3,IF(AC24=AD24,1,0))))</f>
        <v>#REF!</v>
      </c>
      <c r="AJ24" s="52" t="b">
        <f>(IF(AF24=FALSE,FALSE,IF(AE24&gt;AF24,3,IF(AE24=AF24,1,0))))</f>
        <v>0</v>
      </c>
      <c r="AK24" s="52">
        <f>IF(AO24=AO23,1,0)</f>
        <v>0</v>
      </c>
      <c r="AL24" s="52"/>
      <c r="AM24" s="52">
        <f>IF(AO24=AO26,1,0)</f>
        <v>0</v>
      </c>
      <c r="AN24" s="52" t="e">
        <f>IF(AO24=#REF!,1,0)</f>
        <v>#REF!</v>
      </c>
      <c r="AO24" s="52">
        <f>SUM(AP24*3+AQ24)</f>
        <v>0</v>
      </c>
      <c r="AP24" s="52">
        <f>COUNTIF(AG24:AJ24,3)+COUNTIF(AH23:AH36,0)</f>
        <v>0</v>
      </c>
      <c r="AQ24" s="52">
        <f>COUNTIF(AG24:AJ24,1)+COUNTIF(AH23:AH36,1)</f>
        <v>0</v>
      </c>
      <c r="AR24" s="52">
        <f>COUNTIF(AG24:AJ24,0)+COUNTIF(AH23:AH36,3)</f>
        <v>1</v>
      </c>
      <c r="AS24" s="52" t="e">
        <f>Y24+AA24+AC24+AE24+SUM(AB23:AB36)</f>
        <v>#REF!</v>
      </c>
      <c r="AT24" s="52" t="e">
        <f>Z24+AB24+AD24+AF24+SUM(AA23:AA36)</f>
        <v>#REF!</v>
      </c>
      <c r="AU24" s="52" t="e">
        <f>AS24-AT24</f>
        <v>#REF!</v>
      </c>
      <c r="AV24" s="52" t="e">
        <f>AK24*AG24+AM24*AI24+AN24*AJ24+AL23*#REF!+AL26*#REF!+#REF!*#REF!</f>
        <v>#REF!</v>
      </c>
      <c r="AW24" s="52" t="e">
        <f>AK24*Y24+AM24*AC24+AN24*AE24+AL23*AB23+AL26*AB26+#REF!*#REF!</f>
        <v>#REF!</v>
      </c>
      <c r="AX24" s="52" t="e">
        <f>AK24*Z24+AM24*AD24+AN24*AF24+AL23*AA23+AL26*AA26+#REF!*#REF!</f>
        <v>#REF!</v>
      </c>
      <c r="AY24" s="52" t="e">
        <f>AW24-AX24</f>
        <v>#REF!</v>
      </c>
      <c r="AZ24" s="52" t="e">
        <f>SUM(AV24:AX24)</f>
        <v>#REF!</v>
      </c>
      <c r="BA24" s="52" t="e">
        <f>AO24*1000000+AU24*10000+AS24*100+AV24+AY24/100+AW24/10000+4/1000000</f>
        <v>#REF!</v>
      </c>
      <c r="BJ24" s="78" t="s">
        <v>44</v>
      </c>
      <c r="BK24" s="320" t="s">
        <v>208</v>
      </c>
      <c r="BL24" s="331">
        <v>4</v>
      </c>
      <c r="BM24" s="331">
        <v>4</v>
      </c>
      <c r="BN24" s="331">
        <v>0</v>
      </c>
      <c r="BO24" s="331">
        <v>0</v>
      </c>
      <c r="BP24" s="331">
        <v>23</v>
      </c>
      <c r="BQ24" s="331">
        <v>6</v>
      </c>
      <c r="BR24" s="331">
        <v>17</v>
      </c>
      <c r="BS24" s="331">
        <v>12</v>
      </c>
      <c r="BT24" s="88"/>
    </row>
    <row r="25" spans="1:72" ht="35.1" customHeight="1" thickBot="1" x14ac:dyDescent="0.35">
      <c r="A25" s="72"/>
      <c r="B25" s="301" t="s">
        <v>241</v>
      </c>
      <c r="C25" s="73" t="s">
        <v>238</v>
      </c>
      <c r="D25" s="341"/>
      <c r="E25" s="321" t="s">
        <v>226</v>
      </c>
      <c r="F25" s="333">
        <v>3</v>
      </c>
      <c r="G25" s="333">
        <v>1</v>
      </c>
      <c r="H25" s="320" t="s">
        <v>227</v>
      </c>
      <c r="I25" s="52"/>
      <c r="J25" s="52"/>
      <c r="K25" s="84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52"/>
      <c r="W25" s="52"/>
      <c r="X25" s="52"/>
      <c r="Y25" s="82"/>
      <c r="Z25" s="82"/>
      <c r="AA25" s="82"/>
      <c r="AB25" s="82"/>
      <c r="AC25" s="82"/>
      <c r="AD25" s="82"/>
      <c r="AE25" s="82"/>
      <c r="AF25" s="8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J25" s="78"/>
      <c r="BK25" s="319" t="s">
        <v>210</v>
      </c>
      <c r="BL25" s="332">
        <v>3</v>
      </c>
      <c r="BM25" s="332">
        <v>1</v>
      </c>
      <c r="BN25" s="332">
        <v>1</v>
      </c>
      <c r="BO25" s="332">
        <v>1</v>
      </c>
      <c r="BP25" s="332">
        <v>7</v>
      </c>
      <c r="BQ25" s="332">
        <v>7</v>
      </c>
      <c r="BR25" s="332">
        <v>0</v>
      </c>
      <c r="BS25" s="332">
        <v>4</v>
      </c>
      <c r="BT25" s="88"/>
    </row>
    <row r="26" spans="1:72" ht="35.1" customHeight="1" thickBot="1" x14ac:dyDescent="0.35">
      <c r="A26" s="72"/>
      <c r="B26" s="301">
        <v>45211</v>
      </c>
      <c r="C26" s="73">
        <v>0.66666666666666663</v>
      </c>
      <c r="D26" s="341"/>
      <c r="E26" s="321" t="s">
        <v>228</v>
      </c>
      <c r="F26" s="333">
        <v>0</v>
      </c>
      <c r="G26" s="333">
        <v>3</v>
      </c>
      <c r="H26" s="320" t="s">
        <v>227</v>
      </c>
      <c r="I26" s="52"/>
      <c r="J26" s="52"/>
      <c r="K26" s="89" t="e">
        <f>VLOOKUP(2,$W$5:$BA$10,2,FALSE)</f>
        <v>#N/A</v>
      </c>
      <c r="L26" s="85" t="e">
        <f>VLOOKUP(2,$W$5:$BA$10,19,FALSE)</f>
        <v>#N/A</v>
      </c>
      <c r="M26" s="86" t="e">
        <f>IF(VLOOKUP(2,$W$5:$BA$10,30,FALSE)&gt;0,VLOOKUP(2,$W$5:$BA$10,26,FALSE),"")</f>
        <v>#N/A</v>
      </c>
      <c r="N26" s="86" t="e">
        <f>IF(VLOOKUP(2,$W$5:$BA$10,30,FALSE)&gt;0,VLOOKUP(2,$W$5:$BA$10,27,FALSE),"")</f>
        <v>#N/A</v>
      </c>
      <c r="O26" s="86" t="e">
        <f>IF(VLOOKUP(2,$W$5:$BA$10,30,FALSE)&gt;0,VLOOKUP(2,$W$5:$BA$10,28,FALSE),"")</f>
        <v>#N/A</v>
      </c>
      <c r="P26" s="86" t="e">
        <f>SUM(Q26:S26)</f>
        <v>#N/A</v>
      </c>
      <c r="Q26" s="86" t="e">
        <f>VLOOKUP(2,$W$5:$BA$10,20,FALSE)</f>
        <v>#N/A</v>
      </c>
      <c r="R26" s="86" t="e">
        <f>VLOOKUP(2,$W$5:$BA$10,21,FALSE)</f>
        <v>#N/A</v>
      </c>
      <c r="S26" s="86" t="e">
        <f>VLOOKUP(2,$W$5:$BA$10,22,FALSE)</f>
        <v>#N/A</v>
      </c>
      <c r="T26" s="86" t="e">
        <f>VLOOKUP(2,$W$5:$BA$10,23,FALSE)</f>
        <v>#N/A</v>
      </c>
      <c r="U26" s="86" t="e">
        <f>VLOOKUP(2,$W$5:$BA$10,24,FALSE)</f>
        <v>#N/A</v>
      </c>
      <c r="V26" s="52"/>
      <c r="W26" s="52" t="e">
        <f>RANK(BA26,BA23:BA36)</f>
        <v>#REF!</v>
      </c>
      <c r="X26" s="52" t="e">
        <f>#REF!</f>
        <v>#REF!</v>
      </c>
      <c r="Y26" s="82"/>
      <c r="Z26" s="82"/>
      <c r="AA26" s="82"/>
      <c r="AB26" s="82"/>
      <c r="AC26" s="82"/>
      <c r="AD26" s="82"/>
      <c r="AE26" s="82">
        <f>IF(F23=FALSE,FALSE,F23)</f>
        <v>3</v>
      </c>
      <c r="AF26" s="82">
        <f>IF(G23=FALSE,FALSE,G23)</f>
        <v>3</v>
      </c>
      <c r="AG26" s="52" t="b">
        <f>(IF(Z26=FALSE,FALSE,IF(Y26&gt;Z26,3,IF(Y26=Z26,1,0))))</f>
        <v>0</v>
      </c>
      <c r="AH26" s="52" t="b">
        <f>(IF(AB26=FALSE,FALSE,IF(AA26&gt;AB26,3,IF(AA26=AB26,1,0))))</f>
        <v>0</v>
      </c>
      <c r="AI26" s="52"/>
      <c r="AJ26" s="52">
        <f>(IF(AF26=FALSE,FALSE,IF(AE26&gt;AF26,3,IF(AE26=AF26,1,0))))</f>
        <v>1</v>
      </c>
      <c r="AK26" s="52">
        <f>IF(AO26=AO23,1,0)</f>
        <v>0</v>
      </c>
      <c r="AL26" s="52">
        <f>IF(AO26=AO24,1,0)</f>
        <v>0</v>
      </c>
      <c r="AM26" s="52"/>
      <c r="AN26" s="52" t="e">
        <f>IF(AO26=#REF!,1,0)</f>
        <v>#REF!</v>
      </c>
      <c r="AO26" s="52">
        <f>SUM(AP26*3+AQ26)</f>
        <v>4</v>
      </c>
      <c r="AP26" s="52">
        <f>COUNTIF(AG26:AJ26,3)+COUNTIF(AI23:AI36,0)</f>
        <v>1</v>
      </c>
      <c r="AQ26" s="52">
        <f>COUNTIF(AG26:AJ26,1)+COUNTIF(AI23:AI36,1)</f>
        <v>1</v>
      </c>
      <c r="AR26" s="52">
        <f>COUNTIF(AG26:AJ26,0)+COUNTIF(AI23:AI36,3)</f>
        <v>0</v>
      </c>
      <c r="AS26" s="52" t="e">
        <f>Y26+AA26+AC26+AE26+SUM(AD23:AD36)</f>
        <v>#REF!</v>
      </c>
      <c r="AT26" s="52" t="e">
        <f>Z26+AB26+AD26+AF26+SUM(AC23:AC36)</f>
        <v>#REF!</v>
      </c>
      <c r="AU26" s="52" t="e">
        <f>AS26-AT26</f>
        <v>#REF!</v>
      </c>
      <c r="AV26" s="52" t="e">
        <f>AK26*AG26+AL26*AH26+AN26*AJ26+AM23*#REF!+AM24*#REF!+#REF!*#REF!</f>
        <v>#REF!</v>
      </c>
      <c r="AW26" s="52" t="e">
        <f>AK26*Y26+AL26*AA26+AN26*AE26+AM23*AD23+AM24*AD24+#REF!*#REF!</f>
        <v>#REF!</v>
      </c>
      <c r="AX26" s="52" t="e">
        <f>AK26*Z26+AL26*AB26+AN26*AF26+AM23*AC23+AM24*AC24+#REF!*#REF!</f>
        <v>#REF!</v>
      </c>
      <c r="AY26" s="52" t="e">
        <f>AW26-AX26</f>
        <v>#REF!</v>
      </c>
      <c r="AZ26" s="52" t="e">
        <f>SUM(AV26:AX26)</f>
        <v>#REF!</v>
      </c>
      <c r="BA26" s="52" t="e">
        <f>AO26*1000000+AU26*10000+AS26*100+AV26+AY26/100+AW26/10000+1/1000000</f>
        <v>#REF!</v>
      </c>
      <c r="BJ26" s="78"/>
      <c r="BK26" s="319" t="s">
        <v>209</v>
      </c>
      <c r="BL26" s="331">
        <v>3</v>
      </c>
      <c r="BM26" s="331">
        <v>1</v>
      </c>
      <c r="BN26" s="331">
        <v>1</v>
      </c>
      <c r="BO26" s="331">
        <v>1</v>
      </c>
      <c r="BP26" s="331">
        <v>7</v>
      </c>
      <c r="BQ26" s="331">
        <v>9</v>
      </c>
      <c r="BR26" s="331">
        <v>-2</v>
      </c>
      <c r="BS26" s="331">
        <v>4</v>
      </c>
      <c r="BT26" s="91"/>
    </row>
    <row r="27" spans="1:72" ht="35.1" customHeight="1" thickBot="1" x14ac:dyDescent="0.35">
      <c r="A27" s="72"/>
      <c r="B27" s="301">
        <v>45211</v>
      </c>
      <c r="C27" s="80">
        <v>0.70833333333333337</v>
      </c>
      <c r="D27" s="341"/>
      <c r="E27" s="321" t="s">
        <v>212</v>
      </c>
      <c r="F27" s="333">
        <v>1</v>
      </c>
      <c r="G27" s="333">
        <v>7</v>
      </c>
      <c r="H27" s="320" t="s">
        <v>226</v>
      </c>
      <c r="I27" s="52"/>
      <c r="J27" s="52"/>
      <c r="K27" s="89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52"/>
      <c r="W27" s="52"/>
      <c r="X27" s="52"/>
      <c r="Y27" s="82"/>
      <c r="Z27" s="82"/>
      <c r="AA27" s="82"/>
      <c r="AB27" s="82"/>
      <c r="AC27" s="82"/>
      <c r="AD27" s="82"/>
      <c r="AE27" s="82"/>
      <c r="AF27" s="8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J27" s="78"/>
      <c r="BK27" s="321" t="s">
        <v>211</v>
      </c>
      <c r="BL27" s="332">
        <v>3</v>
      </c>
      <c r="BM27" s="332">
        <v>1</v>
      </c>
      <c r="BN27" s="332">
        <v>2</v>
      </c>
      <c r="BO27" s="332">
        <v>0</v>
      </c>
      <c r="BP27" s="332">
        <v>8</v>
      </c>
      <c r="BQ27" s="332">
        <v>18</v>
      </c>
      <c r="BR27" s="332">
        <v>-10</v>
      </c>
      <c r="BS27" s="332">
        <v>3</v>
      </c>
      <c r="BT27" s="91"/>
    </row>
    <row r="28" spans="1:72" ht="35.1" customHeight="1" thickBot="1" x14ac:dyDescent="0.35">
      <c r="A28" s="72"/>
      <c r="B28" s="301">
        <v>45214</v>
      </c>
      <c r="C28" s="80">
        <v>0.54166666666666663</v>
      </c>
      <c r="D28" s="341"/>
      <c r="E28" s="322" t="s">
        <v>210</v>
      </c>
      <c r="F28" s="333">
        <v>2</v>
      </c>
      <c r="G28" s="333">
        <v>3</v>
      </c>
      <c r="H28" s="320" t="s">
        <v>226</v>
      </c>
      <c r="I28" s="52"/>
      <c r="J28" s="52"/>
      <c r="K28" s="89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52"/>
      <c r="W28" s="52"/>
      <c r="X28" s="52"/>
      <c r="Y28" s="82"/>
      <c r="Z28" s="82"/>
      <c r="AA28" s="82"/>
      <c r="AB28" s="82"/>
      <c r="AC28" s="82"/>
      <c r="AD28" s="82"/>
      <c r="AE28" s="82"/>
      <c r="AF28" s="8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J28" s="78"/>
      <c r="BK28" s="321" t="s">
        <v>212</v>
      </c>
      <c r="BL28" s="332">
        <v>3</v>
      </c>
      <c r="BM28" s="332">
        <v>0</v>
      </c>
      <c r="BN28" s="332">
        <v>3</v>
      </c>
      <c r="BO28" s="332">
        <v>0</v>
      </c>
      <c r="BP28" s="332">
        <v>7</v>
      </c>
      <c r="BQ28" s="332">
        <v>15</v>
      </c>
      <c r="BR28" s="332">
        <v>-8</v>
      </c>
      <c r="BS28" s="332">
        <v>0</v>
      </c>
      <c r="BT28" s="91"/>
    </row>
    <row r="29" spans="1:72" ht="35.1" customHeight="1" thickBot="1" x14ac:dyDescent="0.35">
      <c r="A29" s="72"/>
      <c r="B29" s="301" t="s">
        <v>247</v>
      </c>
      <c r="C29" s="80">
        <v>0.58333333333333337</v>
      </c>
      <c r="D29" s="341"/>
      <c r="E29" s="321" t="s">
        <v>228</v>
      </c>
      <c r="F29" s="333">
        <v>6</v>
      </c>
      <c r="G29" s="333">
        <v>5</v>
      </c>
      <c r="H29" s="319" t="s">
        <v>212</v>
      </c>
      <c r="I29" s="52"/>
      <c r="J29" s="52"/>
      <c r="K29" s="89"/>
      <c r="L29" s="85"/>
      <c r="M29" s="86"/>
      <c r="N29" s="86"/>
      <c r="O29" s="86"/>
      <c r="P29" s="86"/>
      <c r="Q29" s="86"/>
      <c r="R29" s="86"/>
      <c r="S29" s="86"/>
      <c r="T29" s="86"/>
      <c r="U29" s="86"/>
      <c r="V29" s="52"/>
      <c r="W29" s="52"/>
      <c r="X29" s="52"/>
      <c r="Y29" s="82"/>
      <c r="Z29" s="82"/>
      <c r="AA29" s="82"/>
      <c r="AB29" s="82"/>
      <c r="AC29" s="82"/>
      <c r="AD29" s="82"/>
      <c r="AE29" s="82"/>
      <c r="AF29" s="8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J29" s="78"/>
      <c r="BK29" s="320"/>
      <c r="BL29" s="332"/>
      <c r="BM29" s="332"/>
      <c r="BN29" s="332"/>
      <c r="BO29" s="332"/>
      <c r="BP29" s="332"/>
      <c r="BQ29" s="332"/>
      <c r="BR29" s="332"/>
      <c r="BS29" s="332"/>
      <c r="BT29" s="91"/>
    </row>
    <row r="30" spans="1:72" ht="35.1" customHeight="1" thickBot="1" x14ac:dyDescent="0.35">
      <c r="A30" s="72"/>
      <c r="B30" s="301" t="s">
        <v>251</v>
      </c>
      <c r="C30" s="80">
        <v>0.66666666666666663</v>
      </c>
      <c r="D30" s="341"/>
      <c r="E30" s="321" t="s">
        <v>227</v>
      </c>
      <c r="F30" s="333"/>
      <c r="G30" s="333"/>
      <c r="H30" s="319" t="s">
        <v>212</v>
      </c>
      <c r="I30" s="52"/>
      <c r="J30" s="52"/>
      <c r="K30" s="89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52"/>
      <c r="W30" s="52"/>
      <c r="X30" s="52"/>
      <c r="Y30" s="82"/>
      <c r="Z30" s="82"/>
      <c r="AA30" s="82"/>
      <c r="AB30" s="82"/>
      <c r="AC30" s="82"/>
      <c r="AD30" s="82"/>
      <c r="AE30" s="82"/>
      <c r="AF30" s="8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J30" s="78"/>
      <c r="BK30" s="319"/>
      <c r="BL30" s="332"/>
      <c r="BM30" s="332"/>
      <c r="BN30" s="332"/>
      <c r="BO30" s="332"/>
      <c r="BP30" s="332"/>
      <c r="BQ30" s="332"/>
      <c r="BR30" s="332"/>
      <c r="BS30" s="332"/>
      <c r="BT30" s="91"/>
    </row>
    <row r="31" spans="1:72" ht="35.1" customHeight="1" thickBot="1" x14ac:dyDescent="0.35">
      <c r="A31" s="72"/>
      <c r="B31" s="301" t="s">
        <v>251</v>
      </c>
      <c r="C31" s="80">
        <v>0.70833333333333337</v>
      </c>
      <c r="D31" s="341"/>
      <c r="E31" s="323" t="s">
        <v>210</v>
      </c>
      <c r="F31" s="333"/>
      <c r="G31" s="333"/>
      <c r="H31" s="319" t="s">
        <v>229</v>
      </c>
      <c r="I31" s="52"/>
      <c r="J31" s="52"/>
      <c r="K31" s="89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52"/>
      <c r="W31" s="52"/>
      <c r="X31" s="52"/>
      <c r="Y31" s="82"/>
      <c r="Z31" s="82"/>
      <c r="AA31" s="82"/>
      <c r="AB31" s="82"/>
      <c r="AC31" s="82"/>
      <c r="AD31" s="82"/>
      <c r="AE31" s="82"/>
      <c r="AF31" s="8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J31" s="78"/>
      <c r="BK31" s="321"/>
      <c r="BL31" s="332"/>
      <c r="BM31" s="332"/>
      <c r="BN31" s="332"/>
      <c r="BO31" s="332"/>
      <c r="BP31" s="332"/>
      <c r="BQ31" s="332"/>
      <c r="BR31" s="332"/>
      <c r="BS31" s="332"/>
      <c r="BT31" s="91"/>
    </row>
    <row r="32" spans="1:72" ht="35.1" customHeight="1" thickBot="1" x14ac:dyDescent="0.35">
      <c r="A32" s="72"/>
      <c r="B32" s="304"/>
      <c r="C32" s="80"/>
      <c r="D32" s="341"/>
      <c r="E32" s="321"/>
      <c r="F32" s="300"/>
      <c r="G32" s="300"/>
      <c r="H32" s="318"/>
      <c r="I32" s="52"/>
      <c r="J32" s="52"/>
      <c r="K32" s="89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52"/>
      <c r="W32" s="52"/>
      <c r="X32" s="52"/>
      <c r="Y32" s="82"/>
      <c r="Z32" s="82"/>
      <c r="AA32" s="82"/>
      <c r="AB32" s="82"/>
      <c r="AC32" s="82"/>
      <c r="AD32" s="82"/>
      <c r="AE32" s="82"/>
      <c r="AF32" s="8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J32" s="78"/>
      <c r="BK32" s="319"/>
      <c r="BL32" s="328"/>
      <c r="BM32" s="328"/>
      <c r="BN32" s="328"/>
      <c r="BO32" s="328"/>
      <c r="BP32" s="328"/>
      <c r="BQ32" s="328"/>
      <c r="BR32" s="328"/>
      <c r="BS32" s="328"/>
      <c r="BT32" s="91"/>
    </row>
    <row r="33" spans="1:72" ht="35.1" customHeight="1" thickBot="1" x14ac:dyDescent="0.35">
      <c r="A33" s="72"/>
      <c r="B33" s="304"/>
      <c r="C33" s="80"/>
      <c r="D33" s="341"/>
      <c r="E33" s="321"/>
      <c r="F33" s="300"/>
      <c r="G33" s="300"/>
      <c r="H33" s="318"/>
      <c r="I33" s="52"/>
      <c r="J33" s="52"/>
      <c r="K33" s="89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52"/>
      <c r="W33" s="52"/>
      <c r="X33" s="52"/>
      <c r="Y33" s="82"/>
      <c r="Z33" s="82"/>
      <c r="AA33" s="82"/>
      <c r="AB33" s="82"/>
      <c r="AC33" s="82"/>
      <c r="AD33" s="82"/>
      <c r="AE33" s="82"/>
      <c r="AF33" s="8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J33" s="78"/>
      <c r="BK33" s="319"/>
      <c r="BL33" s="328"/>
      <c r="BM33" s="328"/>
      <c r="BN33" s="328"/>
      <c r="BO33" s="328"/>
      <c r="BP33" s="328"/>
      <c r="BQ33" s="328"/>
      <c r="BR33" s="328"/>
      <c r="BS33" s="328"/>
      <c r="BT33" s="91"/>
    </row>
    <row r="34" spans="1:72" ht="35.1" customHeight="1" thickBot="1" x14ac:dyDescent="0.35">
      <c r="A34" s="72"/>
      <c r="B34" s="304"/>
      <c r="C34" s="80"/>
      <c r="D34" s="341"/>
      <c r="E34" s="318"/>
      <c r="F34" s="300"/>
      <c r="G34" s="300"/>
      <c r="H34" s="318"/>
      <c r="I34" s="52"/>
      <c r="J34" s="52"/>
      <c r="K34" s="89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52"/>
      <c r="W34" s="52"/>
      <c r="X34" s="52"/>
      <c r="Y34" s="82"/>
      <c r="Z34" s="82"/>
      <c r="AA34" s="82"/>
      <c r="AB34" s="82"/>
      <c r="AC34" s="82"/>
      <c r="AD34" s="82"/>
      <c r="AE34" s="82"/>
      <c r="AF34" s="8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J34" s="78"/>
      <c r="BK34" s="319"/>
      <c r="BL34" s="328"/>
      <c r="BM34" s="328"/>
      <c r="BN34" s="328"/>
      <c r="BO34" s="328"/>
      <c r="BP34" s="328"/>
      <c r="BQ34" s="328"/>
      <c r="BR34" s="328"/>
      <c r="BS34" s="328"/>
      <c r="BT34" s="91"/>
    </row>
    <row r="35" spans="1:72" ht="35.1" customHeight="1" thickBot="1" x14ac:dyDescent="0.35">
      <c r="A35" s="72"/>
      <c r="B35" s="304"/>
      <c r="C35" s="80"/>
      <c r="D35" s="341"/>
      <c r="E35" s="318"/>
      <c r="F35" s="300"/>
      <c r="G35" s="300"/>
      <c r="H35" s="318"/>
      <c r="I35" s="52"/>
      <c r="J35" s="52"/>
      <c r="K35" s="89"/>
      <c r="L35" s="85"/>
      <c r="M35" s="86"/>
      <c r="N35" s="86"/>
      <c r="O35" s="86"/>
      <c r="P35" s="86"/>
      <c r="Q35" s="86"/>
      <c r="R35" s="86"/>
      <c r="S35" s="86"/>
      <c r="T35" s="86"/>
      <c r="U35" s="86"/>
      <c r="V35" s="52"/>
      <c r="W35" s="52"/>
      <c r="X35" s="52"/>
      <c r="Y35" s="82"/>
      <c r="Z35" s="82"/>
      <c r="AA35" s="82"/>
      <c r="AB35" s="82"/>
      <c r="AC35" s="82"/>
      <c r="AD35" s="82"/>
      <c r="AE35" s="82"/>
      <c r="AF35" s="8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J35" s="78"/>
      <c r="BK35" s="319"/>
      <c r="BL35" s="328"/>
      <c r="BM35" s="328"/>
      <c r="BN35" s="328"/>
      <c r="BO35" s="328"/>
      <c r="BP35" s="328"/>
      <c r="BQ35" s="328"/>
      <c r="BR35" s="328"/>
      <c r="BS35" s="328"/>
      <c r="BT35" s="91"/>
    </row>
    <row r="36" spans="1:72" ht="35.1" customHeight="1" thickBot="1" x14ac:dyDescent="0.35">
      <c r="A36" s="72"/>
      <c r="B36" s="305"/>
      <c r="C36" s="96"/>
      <c r="D36" s="341"/>
      <c r="E36" s="318"/>
      <c r="F36" s="300"/>
      <c r="G36" s="300"/>
      <c r="H36" s="318"/>
      <c r="I36" s="52"/>
      <c r="J36" s="52"/>
      <c r="K36" s="89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52"/>
      <c r="W36" s="52"/>
      <c r="X36" s="52"/>
      <c r="Y36" s="82"/>
      <c r="Z36" s="82"/>
      <c r="AA36" s="82"/>
      <c r="AB36" s="82"/>
      <c r="AC36" s="82"/>
      <c r="AD36" s="82"/>
      <c r="AE36" s="82"/>
      <c r="AF36" s="8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J36" s="78"/>
      <c r="BK36" s="319"/>
      <c r="BL36" s="328"/>
      <c r="BM36" s="329"/>
      <c r="BN36" s="329"/>
      <c r="BO36" s="329"/>
      <c r="BP36" s="329"/>
      <c r="BQ36" s="329"/>
      <c r="BR36" s="329"/>
      <c r="BS36" s="329"/>
      <c r="BT36" s="91"/>
    </row>
    <row r="37" spans="1:72" s="71" customFormat="1" ht="20.100000000000001" customHeight="1" thickTop="1" thickBot="1" x14ac:dyDescent="1.1000000000000001">
      <c r="A37" s="98"/>
      <c r="B37" s="99"/>
      <c r="C37" s="107"/>
      <c r="D37" s="101"/>
      <c r="E37" s="102"/>
      <c r="F37" s="103"/>
      <c r="G37" s="103"/>
      <c r="H37" s="102"/>
      <c r="I37" s="61"/>
      <c r="J37" s="61"/>
      <c r="K37" s="61"/>
      <c r="L37" s="61"/>
      <c r="M37" s="61"/>
      <c r="N37" s="62"/>
      <c r="O37" s="63"/>
      <c r="P37" s="62"/>
      <c r="Q37" s="62"/>
      <c r="R37" s="64"/>
      <c r="S37" s="62"/>
      <c r="T37" s="62"/>
      <c r="U37" s="62"/>
      <c r="V37" s="62"/>
      <c r="W37" s="62"/>
      <c r="X37" s="65" t="s">
        <v>1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6"/>
      <c r="BC37" s="66"/>
      <c r="BD37" s="66"/>
      <c r="BE37" s="66"/>
      <c r="BF37" s="66"/>
      <c r="BG37" s="66"/>
      <c r="BH37" s="66"/>
      <c r="BI37" s="66"/>
      <c r="BJ37" s="67"/>
      <c r="BK37" s="104"/>
      <c r="BL37" s="105"/>
      <c r="BM37" s="105"/>
      <c r="BN37" s="105"/>
      <c r="BO37" s="105"/>
      <c r="BP37" s="105"/>
      <c r="BQ37" s="105"/>
      <c r="BR37" s="105"/>
      <c r="BS37" s="105"/>
      <c r="BT37" s="106"/>
    </row>
    <row r="38" spans="1:72" s="71" customFormat="1" ht="20.100000000000001" customHeight="1" thickTop="1" thickBot="1" x14ac:dyDescent="1.1000000000000001">
      <c r="A38" s="98"/>
      <c r="B38" s="99"/>
      <c r="C38" s="107"/>
      <c r="D38" s="101"/>
      <c r="E38" s="102"/>
      <c r="F38" s="103"/>
      <c r="G38" s="103"/>
      <c r="H38" s="102"/>
      <c r="I38" s="61"/>
      <c r="J38" s="61"/>
      <c r="K38" s="61"/>
      <c r="L38" s="61"/>
      <c r="M38" s="61"/>
      <c r="N38" s="62"/>
      <c r="O38" s="63"/>
      <c r="P38" s="62"/>
      <c r="Q38" s="62"/>
      <c r="R38" s="64"/>
      <c r="S38" s="62"/>
      <c r="T38" s="62"/>
      <c r="U38" s="62"/>
      <c r="V38" s="62"/>
      <c r="W38" s="62"/>
      <c r="X38" s="65" t="s">
        <v>1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6"/>
      <c r="BC38" s="66"/>
      <c r="BD38" s="66"/>
      <c r="BE38" s="66"/>
      <c r="BF38" s="66"/>
      <c r="BG38" s="66"/>
      <c r="BH38" s="66"/>
      <c r="BI38" s="66"/>
      <c r="BJ38" s="67"/>
      <c r="BK38" s="104"/>
      <c r="BL38" s="105"/>
      <c r="BM38" s="105"/>
      <c r="BN38" s="105"/>
      <c r="BO38" s="105"/>
      <c r="BP38" s="105"/>
      <c r="BQ38" s="105"/>
      <c r="BR38" s="105"/>
      <c r="BS38" s="105"/>
      <c r="BT38" s="106"/>
    </row>
    <row r="39" spans="1:72" ht="39" customHeight="1" thickBot="1" x14ac:dyDescent="1.1000000000000001">
      <c r="A39" s="72"/>
      <c r="B39" s="311"/>
      <c r="C39" s="108"/>
      <c r="D39" s="109"/>
      <c r="E39" s="110"/>
      <c r="F39" s="108"/>
      <c r="G39" s="108"/>
      <c r="H39" s="110"/>
      <c r="I39" s="111"/>
      <c r="J39" s="111"/>
      <c r="K39" s="111"/>
      <c r="L39" s="111"/>
      <c r="M39" s="111"/>
      <c r="N39" s="111"/>
      <c r="O39" s="112"/>
      <c r="P39" s="111"/>
      <c r="Q39" s="111"/>
      <c r="R39" s="113"/>
      <c r="S39" s="111"/>
      <c r="T39" s="111"/>
      <c r="U39" s="11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6"/>
      <c r="BC39" s="66"/>
      <c r="BD39" s="66"/>
      <c r="BE39" s="66"/>
      <c r="BF39" s="66"/>
      <c r="BG39" s="66"/>
      <c r="BH39" s="66"/>
      <c r="BI39" s="66"/>
      <c r="BJ39" s="66"/>
      <c r="BK39" s="114" t="s">
        <v>47</v>
      </c>
      <c r="BL39" s="105"/>
      <c r="BM39" s="105"/>
      <c r="BN39" s="105"/>
      <c r="BO39" s="105"/>
      <c r="BP39" s="105"/>
      <c r="BQ39" s="105"/>
      <c r="BR39" s="105"/>
      <c r="BS39" s="105"/>
      <c r="BT39" s="106"/>
    </row>
    <row r="40" spans="1:72" ht="39" customHeight="1" thickBot="1" x14ac:dyDescent="1.1000000000000001">
      <c r="A40" s="72"/>
      <c r="B40" s="308"/>
      <c r="C40" s="309"/>
      <c r="D40" s="310"/>
      <c r="E40" s="99"/>
      <c r="F40" s="309"/>
      <c r="G40" s="309"/>
      <c r="H40" s="99"/>
      <c r="I40" s="62"/>
      <c r="J40" s="62"/>
      <c r="K40" s="62"/>
      <c r="L40" s="62"/>
      <c r="M40" s="62"/>
      <c r="N40" s="62"/>
      <c r="O40" s="63"/>
      <c r="P40" s="62"/>
      <c r="Q40" s="62"/>
      <c r="R40" s="64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6"/>
      <c r="BC40" s="66"/>
      <c r="BD40" s="66"/>
      <c r="BE40" s="66"/>
      <c r="BF40" s="66"/>
      <c r="BG40" s="66"/>
      <c r="BH40" s="66"/>
      <c r="BI40" s="66"/>
      <c r="BJ40" s="66"/>
      <c r="BK40" s="114"/>
      <c r="BL40" s="105"/>
      <c r="BM40" s="105"/>
      <c r="BN40" s="105"/>
      <c r="BO40" s="105"/>
      <c r="BP40" s="105"/>
      <c r="BQ40" s="105"/>
      <c r="BR40" s="105"/>
      <c r="BS40" s="105"/>
      <c r="BT40" s="106"/>
    </row>
    <row r="41" spans="1:72" s="124" customFormat="1" ht="35.1" customHeight="1" thickBot="1" x14ac:dyDescent="0.35">
      <c r="A41" s="115"/>
      <c r="B41" s="301">
        <v>45205</v>
      </c>
      <c r="C41" s="73">
        <v>0.66666666666666663</v>
      </c>
      <c r="D41" s="341" t="s">
        <v>45</v>
      </c>
      <c r="E41" s="90" t="s">
        <v>230</v>
      </c>
      <c r="F41" s="334">
        <v>5</v>
      </c>
      <c r="G41" s="335">
        <v>6</v>
      </c>
      <c r="H41" s="319" t="s">
        <v>216</v>
      </c>
      <c r="I41" s="116"/>
      <c r="J41" s="117"/>
      <c r="K41" s="118" t="str">
        <f>IF(W41="","Çeyrek Finalist",IF(W41=1,E41,H41))</f>
        <v>AFAD</v>
      </c>
      <c r="L41" s="119"/>
      <c r="M41" s="119"/>
      <c r="N41" s="119"/>
      <c r="O41" s="120"/>
      <c r="P41" s="119"/>
      <c r="Q41" s="119"/>
      <c r="R41" s="121"/>
      <c r="S41" s="119"/>
      <c r="T41" s="119"/>
      <c r="U41" s="122"/>
      <c r="V41" s="123"/>
      <c r="W41" s="123">
        <f>IF(G41="","",IF(F41&gt;G41,1,IF(F41&lt;G41,2,IF(I41&gt;J41,1,2))))</f>
        <v>2</v>
      </c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J41" s="125"/>
      <c r="BK41" s="342" t="s">
        <v>45</v>
      </c>
      <c r="BL41" s="344" t="s">
        <v>36</v>
      </c>
      <c r="BM41" s="344" t="s">
        <v>11</v>
      </c>
      <c r="BN41" s="344" t="s">
        <v>13</v>
      </c>
      <c r="BO41" s="345" t="s">
        <v>12</v>
      </c>
      <c r="BP41" s="344" t="s">
        <v>1</v>
      </c>
      <c r="BQ41" s="344" t="s">
        <v>14</v>
      </c>
      <c r="BR41" s="345" t="s">
        <v>255</v>
      </c>
      <c r="BS41" s="350" t="s">
        <v>10</v>
      </c>
      <c r="BT41" s="126"/>
    </row>
    <row r="42" spans="1:72" s="124" customFormat="1" ht="35.1" customHeight="1" thickBot="1" x14ac:dyDescent="0.35">
      <c r="A42" s="115"/>
      <c r="B42" s="301">
        <v>45205</v>
      </c>
      <c r="C42" s="73">
        <v>0.70833333333333337</v>
      </c>
      <c r="D42" s="341"/>
      <c r="E42" s="90" t="s">
        <v>231</v>
      </c>
      <c r="F42" s="336">
        <v>3</v>
      </c>
      <c r="G42" s="337">
        <v>0</v>
      </c>
      <c r="H42" s="320" t="s">
        <v>232</v>
      </c>
      <c r="I42" s="116"/>
      <c r="J42" s="117"/>
      <c r="K42" s="127" t="str">
        <f>IF(W42="","Çeyrek Finalist",IF(W42=1,E42,H42))</f>
        <v>MEM VETERANLAR</v>
      </c>
      <c r="L42" s="123"/>
      <c r="M42" s="123"/>
      <c r="N42" s="123"/>
      <c r="O42" s="128"/>
      <c r="P42" s="123"/>
      <c r="Q42" s="123"/>
      <c r="R42" s="129"/>
      <c r="S42" s="123"/>
      <c r="T42" s="123"/>
      <c r="U42" s="130"/>
      <c r="V42" s="123"/>
      <c r="W42" s="123">
        <f>IF(G42="","",IF(F42&gt;G42,1,IF(F42&lt;G42,2,IF(I42&gt;J42,1,2))))</f>
        <v>1</v>
      </c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J42" s="125"/>
      <c r="BK42" s="343"/>
      <c r="BL42" s="345"/>
      <c r="BM42" s="345"/>
      <c r="BN42" s="345"/>
      <c r="BO42" s="352"/>
      <c r="BP42" s="345"/>
      <c r="BQ42" s="345"/>
      <c r="BR42" s="352"/>
      <c r="BS42" s="351"/>
      <c r="BT42" s="126"/>
    </row>
    <row r="43" spans="1:72" s="124" customFormat="1" ht="35.1" customHeight="1" thickBot="1" x14ac:dyDescent="0.35">
      <c r="A43" s="115"/>
      <c r="B43" s="301" t="s">
        <v>242</v>
      </c>
      <c r="C43" s="73" t="s">
        <v>243</v>
      </c>
      <c r="D43" s="341"/>
      <c r="E43" s="87" t="s">
        <v>233</v>
      </c>
      <c r="F43" s="336">
        <v>13</v>
      </c>
      <c r="G43" s="337">
        <v>2</v>
      </c>
      <c r="H43" s="320" t="s">
        <v>232</v>
      </c>
      <c r="I43" s="116"/>
      <c r="J43" s="117"/>
      <c r="K43" s="127" t="str">
        <f>IF(W43="","Çeyrek Finalist",IF(W43=1,E43,H43))</f>
        <v>GENÇLİK SPOR</v>
      </c>
      <c r="L43" s="123"/>
      <c r="M43" s="123"/>
      <c r="N43" s="123"/>
      <c r="O43" s="128"/>
      <c r="P43" s="123"/>
      <c r="Q43" s="123"/>
      <c r="R43" s="129"/>
      <c r="S43" s="123"/>
      <c r="T43" s="123"/>
      <c r="U43" s="130"/>
      <c r="V43" s="123"/>
      <c r="W43" s="123">
        <f>IF(G43="","",IF(F43&gt;G43,1,IF(F43&lt;G43,2,IF(I43&gt;J43,1,2))))</f>
        <v>1</v>
      </c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C43" s="129"/>
      <c r="BJ43" s="125"/>
      <c r="BK43" s="321" t="s">
        <v>217</v>
      </c>
      <c r="BL43" s="332">
        <v>3</v>
      </c>
      <c r="BM43" s="332">
        <v>3</v>
      </c>
      <c r="BN43" s="332">
        <v>0</v>
      </c>
      <c r="BO43" s="332">
        <v>0</v>
      </c>
      <c r="BP43" s="332">
        <v>35</v>
      </c>
      <c r="BQ43" s="332">
        <v>9</v>
      </c>
      <c r="BR43" s="332">
        <v>26</v>
      </c>
      <c r="BS43" s="332">
        <v>9</v>
      </c>
      <c r="BT43" s="126"/>
    </row>
    <row r="44" spans="1:72" s="124" customFormat="1" ht="35.1" customHeight="1" thickBot="1" x14ac:dyDescent="0.35">
      <c r="A44" s="115"/>
      <c r="B44" s="301" t="s">
        <v>242</v>
      </c>
      <c r="C44" s="73" t="s">
        <v>244</v>
      </c>
      <c r="D44" s="341"/>
      <c r="E44" s="90" t="s">
        <v>230</v>
      </c>
      <c r="F44" s="336">
        <v>3</v>
      </c>
      <c r="G44" s="337">
        <v>8</v>
      </c>
      <c r="H44" s="320" t="s">
        <v>231</v>
      </c>
      <c r="I44" s="116"/>
      <c r="J44" s="117"/>
      <c r="K44" s="127"/>
      <c r="L44" s="123"/>
      <c r="M44" s="123"/>
      <c r="N44" s="123"/>
      <c r="O44" s="128"/>
      <c r="P44" s="123"/>
      <c r="Q44" s="123"/>
      <c r="R44" s="129"/>
      <c r="S44" s="123"/>
      <c r="T44" s="123"/>
      <c r="U44" s="130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C44" s="129"/>
      <c r="BJ44" s="125"/>
      <c r="BK44" s="319" t="s">
        <v>214</v>
      </c>
      <c r="BL44" s="331">
        <v>2</v>
      </c>
      <c r="BM44" s="331">
        <v>2</v>
      </c>
      <c r="BN44" s="331">
        <v>0</v>
      </c>
      <c r="BO44" s="331">
        <v>0</v>
      </c>
      <c r="BP44" s="331">
        <v>11</v>
      </c>
      <c r="BQ44" s="331">
        <v>3</v>
      </c>
      <c r="BR44" s="331">
        <v>8</v>
      </c>
      <c r="BS44" s="331">
        <v>6</v>
      </c>
      <c r="BT44" s="126"/>
    </row>
    <row r="45" spans="1:72" s="124" customFormat="1" ht="35.1" customHeight="1" thickBot="1" x14ac:dyDescent="0.35">
      <c r="A45" s="115"/>
      <c r="B45" s="301">
        <v>45212</v>
      </c>
      <c r="C45" s="73">
        <v>0.66666666666666663</v>
      </c>
      <c r="D45" s="341"/>
      <c r="E45" s="90" t="s">
        <v>216</v>
      </c>
      <c r="F45" s="336"/>
      <c r="G45" s="337"/>
      <c r="H45" s="320" t="s">
        <v>231</v>
      </c>
      <c r="I45" s="116"/>
      <c r="J45" s="117"/>
      <c r="K45" s="127"/>
      <c r="L45" s="123"/>
      <c r="M45" s="123"/>
      <c r="N45" s="123"/>
      <c r="O45" s="128"/>
      <c r="P45" s="123"/>
      <c r="Q45" s="123"/>
      <c r="R45" s="129"/>
      <c r="S45" s="123"/>
      <c r="T45" s="123"/>
      <c r="U45" s="130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C45" s="129"/>
      <c r="BJ45" s="125"/>
      <c r="BK45" s="321" t="s">
        <v>216</v>
      </c>
      <c r="BL45" s="332">
        <v>2</v>
      </c>
      <c r="BM45" s="332">
        <v>1</v>
      </c>
      <c r="BN45" s="332">
        <v>1</v>
      </c>
      <c r="BO45" s="332">
        <v>0</v>
      </c>
      <c r="BP45" s="332">
        <v>10</v>
      </c>
      <c r="BQ45" s="332">
        <v>14</v>
      </c>
      <c r="BR45" s="332">
        <v>-4</v>
      </c>
      <c r="BS45" s="332">
        <v>3</v>
      </c>
      <c r="BT45" s="126"/>
    </row>
    <row r="46" spans="1:72" s="124" customFormat="1" ht="35.1" customHeight="1" thickBot="1" x14ac:dyDescent="0.35">
      <c r="A46" s="115"/>
      <c r="B46" s="301">
        <v>45212</v>
      </c>
      <c r="C46" s="80">
        <v>0.70833333333333337</v>
      </c>
      <c r="D46" s="341"/>
      <c r="E46" s="90" t="s">
        <v>233</v>
      </c>
      <c r="F46" s="336">
        <v>11</v>
      </c>
      <c r="G46" s="337">
        <v>3</v>
      </c>
      <c r="H46" s="320" t="s">
        <v>230</v>
      </c>
      <c r="I46" s="116"/>
      <c r="J46" s="117"/>
      <c r="K46" s="127"/>
      <c r="L46" s="123"/>
      <c r="M46" s="123"/>
      <c r="N46" s="123"/>
      <c r="O46" s="128"/>
      <c r="P46" s="123"/>
      <c r="Q46" s="123"/>
      <c r="R46" s="129"/>
      <c r="S46" s="123"/>
      <c r="T46" s="123"/>
      <c r="U46" s="130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C46" s="129"/>
      <c r="BJ46" s="125"/>
      <c r="BK46" s="319" t="s">
        <v>215</v>
      </c>
      <c r="BL46" s="332">
        <v>3</v>
      </c>
      <c r="BM46" s="332">
        <v>1</v>
      </c>
      <c r="BN46" s="332">
        <v>2</v>
      </c>
      <c r="BO46" s="332">
        <v>0</v>
      </c>
      <c r="BP46" s="332">
        <v>8</v>
      </c>
      <c r="BQ46" s="332">
        <v>17</v>
      </c>
      <c r="BR46" s="332">
        <v>-9</v>
      </c>
      <c r="BS46" s="332">
        <v>3</v>
      </c>
      <c r="BT46" s="126"/>
    </row>
    <row r="47" spans="1:72" s="124" customFormat="1" ht="35.1" customHeight="1" thickBot="1" x14ac:dyDescent="0.35">
      <c r="A47" s="115"/>
      <c r="B47" s="301">
        <v>45215</v>
      </c>
      <c r="C47" s="80">
        <v>0.66666666666666663</v>
      </c>
      <c r="D47" s="341"/>
      <c r="E47" s="87" t="s">
        <v>232</v>
      </c>
      <c r="F47" s="336">
        <v>6</v>
      </c>
      <c r="G47" s="337">
        <v>1</v>
      </c>
      <c r="H47" s="320" t="s">
        <v>230</v>
      </c>
      <c r="I47" s="116"/>
      <c r="J47" s="117"/>
      <c r="K47" s="127"/>
      <c r="L47" s="123"/>
      <c r="M47" s="123"/>
      <c r="N47" s="123"/>
      <c r="O47" s="128"/>
      <c r="P47" s="123"/>
      <c r="Q47" s="123"/>
      <c r="R47" s="129"/>
      <c r="S47" s="123"/>
      <c r="T47" s="123"/>
      <c r="U47" s="130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C47" s="129"/>
      <c r="BJ47" s="125"/>
      <c r="BK47" s="320" t="s">
        <v>213</v>
      </c>
      <c r="BL47" s="331">
        <v>3</v>
      </c>
      <c r="BM47" s="331">
        <v>0</v>
      </c>
      <c r="BN47" s="331">
        <v>3</v>
      </c>
      <c r="BO47" s="331">
        <v>0</v>
      </c>
      <c r="BP47" s="331">
        <v>9</v>
      </c>
      <c r="BQ47" s="331">
        <v>20</v>
      </c>
      <c r="BR47" s="331">
        <v>-11</v>
      </c>
      <c r="BS47" s="331">
        <v>0</v>
      </c>
      <c r="BT47" s="126"/>
    </row>
    <row r="48" spans="1:72" s="124" customFormat="1" ht="35.1" customHeight="1" thickBot="1" x14ac:dyDescent="0.35">
      <c r="A48" s="115"/>
      <c r="B48" s="301" t="s">
        <v>248</v>
      </c>
      <c r="C48" s="80">
        <v>0.70833333333333337</v>
      </c>
      <c r="D48" s="341"/>
      <c r="E48" s="90" t="s">
        <v>216</v>
      </c>
      <c r="F48" s="336">
        <v>4</v>
      </c>
      <c r="G48" s="337">
        <v>11</v>
      </c>
      <c r="H48" s="319" t="s">
        <v>233</v>
      </c>
      <c r="I48" s="116"/>
      <c r="J48" s="117"/>
      <c r="K48" s="127"/>
      <c r="L48" s="123"/>
      <c r="M48" s="123"/>
      <c r="N48" s="123"/>
      <c r="O48" s="128"/>
      <c r="P48" s="123"/>
      <c r="Q48" s="123"/>
      <c r="R48" s="129"/>
      <c r="S48" s="123"/>
      <c r="T48" s="123"/>
      <c r="U48" s="130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C48" s="129"/>
      <c r="BJ48" s="125"/>
      <c r="BK48" s="319"/>
      <c r="BL48" s="332"/>
      <c r="BM48" s="332"/>
      <c r="BN48" s="332"/>
      <c r="BO48" s="332"/>
      <c r="BP48" s="332"/>
      <c r="BQ48" s="332"/>
      <c r="BR48" s="332"/>
      <c r="BS48" s="332"/>
      <c r="BT48" s="126"/>
    </row>
    <row r="49" spans="1:72" s="124" customFormat="1" ht="35.1" customHeight="1" thickBot="1" x14ac:dyDescent="0.35">
      <c r="A49" s="115"/>
      <c r="B49" s="313" t="s">
        <v>252</v>
      </c>
      <c r="C49" s="312" t="s">
        <v>243</v>
      </c>
      <c r="D49" s="341"/>
      <c r="E49" s="90" t="s">
        <v>231</v>
      </c>
      <c r="F49" s="336"/>
      <c r="G49" s="337"/>
      <c r="H49" s="319" t="s">
        <v>233</v>
      </c>
      <c r="I49" s="116"/>
      <c r="J49" s="117"/>
      <c r="K49" s="127"/>
      <c r="L49" s="123"/>
      <c r="M49" s="123"/>
      <c r="N49" s="123"/>
      <c r="O49" s="128"/>
      <c r="P49" s="123"/>
      <c r="Q49" s="123"/>
      <c r="R49" s="129"/>
      <c r="S49" s="123"/>
      <c r="T49" s="123"/>
      <c r="U49" s="130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C49" s="129"/>
      <c r="BJ49" s="125"/>
      <c r="BK49" s="319"/>
      <c r="BL49" s="332"/>
      <c r="BM49" s="332"/>
      <c r="BN49" s="332"/>
      <c r="BO49" s="332"/>
      <c r="BP49" s="332"/>
      <c r="BQ49" s="332"/>
      <c r="BR49" s="332"/>
      <c r="BS49" s="332"/>
      <c r="BT49" s="126"/>
    </row>
    <row r="50" spans="1:72" s="124" customFormat="1" ht="35.1" customHeight="1" thickBot="1" x14ac:dyDescent="0.35">
      <c r="A50" s="115"/>
      <c r="B50" s="313" t="s">
        <v>252</v>
      </c>
      <c r="C50" s="312" t="s">
        <v>244</v>
      </c>
      <c r="D50" s="341"/>
      <c r="E50" s="95" t="s">
        <v>232</v>
      </c>
      <c r="F50" s="336"/>
      <c r="G50" s="337"/>
      <c r="H50" s="319" t="s">
        <v>216</v>
      </c>
      <c r="I50" s="116"/>
      <c r="J50" s="117"/>
      <c r="K50" s="127"/>
      <c r="L50" s="123"/>
      <c r="M50" s="123"/>
      <c r="N50" s="123"/>
      <c r="O50" s="128"/>
      <c r="P50" s="123"/>
      <c r="Q50" s="123"/>
      <c r="R50" s="129"/>
      <c r="S50" s="123"/>
      <c r="T50" s="123"/>
      <c r="U50" s="130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C50" s="129"/>
      <c r="BJ50" s="125"/>
      <c r="BK50" s="319"/>
      <c r="BL50" s="331"/>
      <c r="BM50" s="331"/>
      <c r="BN50" s="331"/>
      <c r="BO50" s="331"/>
      <c r="BP50" s="331"/>
      <c r="BQ50" s="331"/>
      <c r="BR50" s="331"/>
      <c r="BS50" s="331"/>
      <c r="BT50" s="126"/>
    </row>
    <row r="51" spans="1:72" s="124" customFormat="1" ht="35.1" customHeight="1" thickBot="1" x14ac:dyDescent="0.35">
      <c r="A51" s="115"/>
      <c r="B51" s="313"/>
      <c r="C51" s="312"/>
      <c r="D51" s="341"/>
      <c r="E51" s="90"/>
      <c r="F51" s="306"/>
      <c r="G51" s="316"/>
      <c r="H51" s="318"/>
      <c r="I51" s="116"/>
      <c r="J51" s="117"/>
      <c r="K51" s="127"/>
      <c r="L51" s="123"/>
      <c r="M51" s="123"/>
      <c r="N51" s="123"/>
      <c r="O51" s="128"/>
      <c r="P51" s="123"/>
      <c r="Q51" s="123"/>
      <c r="R51" s="129"/>
      <c r="S51" s="123"/>
      <c r="T51" s="123"/>
      <c r="U51" s="130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C51" s="129"/>
      <c r="BJ51" s="125"/>
      <c r="BK51" s="321"/>
      <c r="BL51" s="332"/>
      <c r="BM51" s="332"/>
      <c r="BN51" s="332"/>
      <c r="BO51" s="332"/>
      <c r="BP51" s="332"/>
      <c r="BQ51" s="332"/>
      <c r="BR51" s="332"/>
      <c r="BS51" s="332"/>
      <c r="BT51" s="126"/>
    </row>
    <row r="52" spans="1:72" s="124" customFormat="1" ht="35.1" customHeight="1" thickBot="1" x14ac:dyDescent="0.35">
      <c r="A52" s="115"/>
      <c r="B52" s="314"/>
      <c r="C52" s="315"/>
      <c r="D52" s="341"/>
      <c r="E52" s="97"/>
      <c r="F52" s="300"/>
      <c r="G52" s="317"/>
      <c r="H52" s="318"/>
      <c r="I52" s="116"/>
      <c r="J52" s="117"/>
      <c r="K52" s="127" t="str">
        <f>IF(W52="","Çeyrek Finalist",IF(W52=1,E52,H52))</f>
        <v>Çeyrek Finalist</v>
      </c>
      <c r="L52" s="123"/>
      <c r="M52" s="123"/>
      <c r="N52" s="123"/>
      <c r="O52" s="128"/>
      <c r="P52" s="123"/>
      <c r="Q52" s="123"/>
      <c r="R52" s="129"/>
      <c r="S52" s="123"/>
      <c r="T52" s="123"/>
      <c r="U52" s="130"/>
      <c r="V52" s="123"/>
      <c r="W52" s="123" t="str">
        <f>IF(G52="","",IF(F52&gt;G52,1,IF(F52&lt;G52,2,IF(I52&gt;J52,1,2))))</f>
        <v/>
      </c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J52" s="125"/>
      <c r="BK52" s="320"/>
      <c r="BL52" s="331"/>
      <c r="BM52" s="331"/>
      <c r="BN52" s="331"/>
      <c r="BO52" s="331"/>
      <c r="BP52" s="331"/>
      <c r="BQ52" s="331"/>
      <c r="BR52" s="331"/>
      <c r="BS52" s="331"/>
      <c r="BT52" s="126"/>
    </row>
    <row r="53" spans="1:72" s="124" customFormat="1" ht="39" customHeight="1" thickBot="1" x14ac:dyDescent="0.4">
      <c r="A53" s="115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7"/>
      <c r="BT53" s="106"/>
    </row>
    <row r="54" spans="1:72" s="124" customFormat="1" ht="35.1" customHeight="1" thickTop="1" thickBot="1" x14ac:dyDescent="1.1000000000000001">
      <c r="A54" s="115"/>
      <c r="B54" s="99"/>
      <c r="C54" s="107"/>
      <c r="D54" s="101"/>
      <c r="E54" s="102"/>
      <c r="F54" s="103"/>
      <c r="G54" s="103"/>
      <c r="H54" s="102"/>
      <c r="I54" s="61"/>
      <c r="J54" s="61"/>
      <c r="K54" s="61"/>
      <c r="L54" s="61"/>
      <c r="M54" s="61"/>
      <c r="N54" s="62"/>
      <c r="O54" s="63"/>
      <c r="P54" s="62"/>
      <c r="Q54" s="62"/>
      <c r="R54" s="64"/>
      <c r="S54" s="62"/>
      <c r="T54" s="62"/>
      <c r="U54" s="62"/>
      <c r="V54" s="62"/>
      <c r="W54" s="62"/>
      <c r="X54" s="65" t="s">
        <v>1</v>
      </c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6"/>
      <c r="BC54" s="66"/>
      <c r="BD54" s="66"/>
      <c r="BE54" s="66"/>
      <c r="BF54" s="66"/>
      <c r="BG54" s="66"/>
      <c r="BH54" s="66"/>
      <c r="BI54" s="66"/>
      <c r="BJ54" s="67"/>
      <c r="BK54" s="104"/>
      <c r="BL54" s="105"/>
      <c r="BM54" s="105"/>
      <c r="BN54" s="105"/>
      <c r="BO54" s="105"/>
      <c r="BP54" s="105"/>
      <c r="BQ54" s="105"/>
      <c r="BR54" s="105"/>
      <c r="BS54" s="105"/>
      <c r="BT54" s="106"/>
    </row>
    <row r="55" spans="1:72" s="124" customFormat="1" ht="35.1" customHeight="1" thickBot="1" x14ac:dyDescent="1.1000000000000001">
      <c r="A55" s="115"/>
      <c r="B55" s="311"/>
      <c r="C55" s="108"/>
      <c r="D55" s="109"/>
      <c r="E55" s="110"/>
      <c r="F55" s="108"/>
      <c r="G55" s="108"/>
      <c r="H55" s="110"/>
      <c r="I55" s="111"/>
      <c r="J55" s="111"/>
      <c r="K55" s="111"/>
      <c r="L55" s="111"/>
      <c r="M55" s="111"/>
      <c r="N55" s="111"/>
      <c r="O55" s="112"/>
      <c r="P55" s="111"/>
      <c r="Q55" s="111"/>
      <c r="R55" s="113"/>
      <c r="S55" s="111"/>
      <c r="T55" s="111"/>
      <c r="U55" s="111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6"/>
      <c r="BC55" s="66"/>
      <c r="BD55" s="66"/>
      <c r="BE55" s="66"/>
      <c r="BF55" s="66"/>
      <c r="BG55" s="66"/>
      <c r="BH55" s="66"/>
      <c r="BI55" s="66"/>
      <c r="BJ55" s="66"/>
      <c r="BK55" s="114" t="s">
        <v>47</v>
      </c>
      <c r="BL55" s="105"/>
      <c r="BM55" s="105"/>
      <c r="BN55" s="105"/>
      <c r="BO55" s="105"/>
      <c r="BP55" s="105"/>
      <c r="BQ55" s="105"/>
      <c r="BR55" s="105"/>
      <c r="BS55" s="105"/>
      <c r="BT55" s="106"/>
    </row>
    <row r="56" spans="1:72" s="124" customFormat="1" ht="36" customHeight="1" thickBot="1" x14ac:dyDescent="1.1000000000000001">
      <c r="A56" s="115"/>
      <c r="B56" s="308"/>
      <c r="C56" s="309"/>
      <c r="D56" s="310"/>
      <c r="E56" s="99"/>
      <c r="F56" s="309"/>
      <c r="G56" s="309"/>
      <c r="H56" s="99"/>
      <c r="I56" s="62"/>
      <c r="J56" s="62"/>
      <c r="K56" s="62"/>
      <c r="L56" s="62"/>
      <c r="M56" s="62"/>
      <c r="N56" s="62"/>
      <c r="O56" s="63"/>
      <c r="P56" s="62"/>
      <c r="Q56" s="62"/>
      <c r="R56" s="64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6"/>
      <c r="BC56" s="66"/>
      <c r="BD56" s="66"/>
      <c r="BE56" s="66"/>
      <c r="BF56" s="66"/>
      <c r="BG56" s="66"/>
      <c r="BH56" s="66"/>
      <c r="BI56" s="66"/>
      <c r="BJ56" s="66"/>
      <c r="BK56" s="114"/>
      <c r="BL56" s="105"/>
      <c r="BM56" s="105"/>
      <c r="BN56" s="105"/>
      <c r="BO56" s="105"/>
      <c r="BP56" s="105"/>
      <c r="BQ56" s="105"/>
      <c r="BR56" s="105"/>
      <c r="BS56" s="105"/>
      <c r="BT56" s="106"/>
    </row>
    <row r="57" spans="1:72" s="124" customFormat="1" ht="37.5" customHeight="1" thickBot="1" x14ac:dyDescent="0.35">
      <c r="A57" s="115"/>
      <c r="B57" s="301">
        <v>45206</v>
      </c>
      <c r="C57" s="73">
        <v>0.5</v>
      </c>
      <c r="D57" s="341" t="s">
        <v>46</v>
      </c>
      <c r="E57" s="321" t="s">
        <v>234</v>
      </c>
      <c r="F57" s="333">
        <v>3</v>
      </c>
      <c r="G57" s="333">
        <v>0</v>
      </c>
      <c r="H57" s="319" t="s">
        <v>221</v>
      </c>
      <c r="I57" s="116"/>
      <c r="J57" s="117"/>
      <c r="K57" s="118" t="str">
        <f>IF(W57="","Çeyrek Finalist",IF(W57=1,E57,H57))</f>
        <v>ÖZEL HAREKAT</v>
      </c>
      <c r="L57" s="119"/>
      <c r="M57" s="119"/>
      <c r="N57" s="119"/>
      <c r="O57" s="120"/>
      <c r="P57" s="119"/>
      <c r="Q57" s="119"/>
      <c r="R57" s="121"/>
      <c r="S57" s="119"/>
      <c r="T57" s="119"/>
      <c r="U57" s="122"/>
      <c r="V57" s="123"/>
      <c r="W57" s="123">
        <f>IF(G57="","",IF(F57&gt;G57,1,IF(F57&lt;G57,2,IF(I57&gt;J57,1,2))))</f>
        <v>1</v>
      </c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J57" s="125"/>
      <c r="BK57" s="342" t="s">
        <v>46</v>
      </c>
      <c r="BL57" s="344" t="s">
        <v>36</v>
      </c>
      <c r="BM57" s="344" t="s">
        <v>11</v>
      </c>
      <c r="BN57" s="344" t="s">
        <v>13</v>
      </c>
      <c r="BO57" s="345" t="s">
        <v>12</v>
      </c>
      <c r="BP57" s="344" t="s">
        <v>1</v>
      </c>
      <c r="BQ57" s="344" t="s">
        <v>14</v>
      </c>
      <c r="BR57" s="345" t="s">
        <v>255</v>
      </c>
      <c r="BS57" s="350" t="s">
        <v>10</v>
      </c>
      <c r="BT57" s="126"/>
    </row>
    <row r="58" spans="1:72" s="124" customFormat="1" ht="33.75" customHeight="1" thickBot="1" x14ac:dyDescent="0.35">
      <c r="A58" s="115"/>
      <c r="B58" s="301">
        <v>45206</v>
      </c>
      <c r="C58" s="73">
        <v>0.54166666666666663</v>
      </c>
      <c r="D58" s="341"/>
      <c r="E58" s="321" t="s">
        <v>219</v>
      </c>
      <c r="F58" s="333">
        <v>3</v>
      </c>
      <c r="G58" s="333">
        <v>17</v>
      </c>
      <c r="H58" s="320" t="s">
        <v>235</v>
      </c>
      <c r="I58" s="116"/>
      <c r="J58" s="117"/>
      <c r="K58" s="127" t="str">
        <f>IF(W58="","Çeyrek Finalist",IF(W58=1,E58,H58))</f>
        <v>ÖZEL İDARE</v>
      </c>
      <c r="L58" s="123"/>
      <c r="M58" s="123"/>
      <c r="N58" s="123"/>
      <c r="O58" s="128"/>
      <c r="P58" s="123"/>
      <c r="Q58" s="123"/>
      <c r="R58" s="129"/>
      <c r="S58" s="123"/>
      <c r="T58" s="123"/>
      <c r="U58" s="130"/>
      <c r="V58" s="123"/>
      <c r="W58" s="123">
        <f>IF(G58="","",IF(F58&gt;G58,1,IF(F58&lt;G58,2,IF(I58&gt;J58,1,2))))</f>
        <v>2</v>
      </c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J58" s="125"/>
      <c r="BK58" s="343"/>
      <c r="BL58" s="345"/>
      <c r="BM58" s="345"/>
      <c r="BN58" s="345"/>
      <c r="BO58" s="352"/>
      <c r="BP58" s="345"/>
      <c r="BQ58" s="345"/>
      <c r="BR58" s="352"/>
      <c r="BS58" s="351"/>
      <c r="BT58" s="126"/>
    </row>
    <row r="59" spans="1:72" s="124" customFormat="1" ht="37.5" customHeight="1" thickBot="1" x14ac:dyDescent="0.35">
      <c r="A59" s="115"/>
      <c r="B59" s="301" t="s">
        <v>245</v>
      </c>
      <c r="C59" s="73" t="s">
        <v>243</v>
      </c>
      <c r="D59" s="341"/>
      <c r="E59" s="322" t="s">
        <v>222</v>
      </c>
      <c r="F59" s="333">
        <v>7</v>
      </c>
      <c r="G59" s="333">
        <v>4</v>
      </c>
      <c r="H59" s="320" t="s">
        <v>235</v>
      </c>
      <c r="I59" s="116"/>
      <c r="J59" s="117"/>
      <c r="K59" s="127" t="str">
        <f>IF(W59="","Çeyrek Finalist",IF(W59=1,E59,H59))</f>
        <v>DEVLET HASTANESİ</v>
      </c>
      <c r="L59" s="123"/>
      <c r="M59" s="123"/>
      <c r="N59" s="123"/>
      <c r="O59" s="128"/>
      <c r="P59" s="123"/>
      <c r="Q59" s="123"/>
      <c r="R59" s="129"/>
      <c r="S59" s="123"/>
      <c r="T59" s="123"/>
      <c r="U59" s="130"/>
      <c r="V59" s="123"/>
      <c r="W59" s="123">
        <f>IF(G59="","",IF(F59&gt;G59,1,IF(F59&lt;G59,2,IF(I59&gt;J59,1,2))))</f>
        <v>1</v>
      </c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C59" s="129"/>
      <c r="BJ59" s="125"/>
      <c r="BK59" s="320" t="s">
        <v>218</v>
      </c>
      <c r="BL59" s="331">
        <v>3</v>
      </c>
      <c r="BM59" s="331">
        <v>3</v>
      </c>
      <c r="BN59" s="331">
        <v>0</v>
      </c>
      <c r="BO59" s="331">
        <v>0</v>
      </c>
      <c r="BP59" s="331">
        <v>21</v>
      </c>
      <c r="BQ59" s="331">
        <v>3</v>
      </c>
      <c r="BR59" s="331">
        <v>18</v>
      </c>
      <c r="BS59" s="331">
        <v>9</v>
      </c>
      <c r="BT59" s="126"/>
    </row>
    <row r="60" spans="1:72" ht="36" customHeight="1" thickBot="1" x14ac:dyDescent="0.35">
      <c r="A60" s="72"/>
      <c r="B60" s="301" t="s">
        <v>245</v>
      </c>
      <c r="C60" s="73" t="s">
        <v>244</v>
      </c>
      <c r="D60" s="341"/>
      <c r="E60" s="321" t="s">
        <v>234</v>
      </c>
      <c r="F60" s="333">
        <v>11</v>
      </c>
      <c r="G60" s="333">
        <v>2</v>
      </c>
      <c r="H60" s="320" t="s">
        <v>219</v>
      </c>
      <c r="I60" s="116"/>
      <c r="J60" s="117"/>
      <c r="K60" s="127"/>
      <c r="L60" s="123"/>
      <c r="M60" s="123"/>
      <c r="N60" s="123"/>
      <c r="O60" s="128"/>
      <c r="P60" s="123"/>
      <c r="Q60" s="123"/>
      <c r="R60" s="129"/>
      <c r="S60" s="123"/>
      <c r="T60" s="123"/>
      <c r="U60" s="130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4"/>
      <c r="BC60" s="129"/>
      <c r="BD60" s="124"/>
      <c r="BE60" s="124"/>
      <c r="BF60" s="124"/>
      <c r="BG60" s="124"/>
      <c r="BH60" s="124"/>
      <c r="BI60" s="124"/>
      <c r="BJ60" s="125"/>
      <c r="BK60" s="319" t="s">
        <v>220</v>
      </c>
      <c r="BL60" s="332">
        <v>2</v>
      </c>
      <c r="BM60" s="332">
        <v>1</v>
      </c>
      <c r="BN60" s="332">
        <v>1</v>
      </c>
      <c r="BO60" s="332">
        <v>0</v>
      </c>
      <c r="BP60" s="332">
        <v>21</v>
      </c>
      <c r="BQ60" s="332">
        <v>10</v>
      </c>
      <c r="BR60" s="332">
        <v>11</v>
      </c>
      <c r="BS60" s="332">
        <v>3</v>
      </c>
      <c r="BT60" s="126"/>
    </row>
    <row r="61" spans="1:72" ht="30" customHeight="1" thickBot="1" x14ac:dyDescent="0.35">
      <c r="A61" s="72"/>
      <c r="B61" s="301">
        <v>45213</v>
      </c>
      <c r="C61" s="73">
        <v>0.5</v>
      </c>
      <c r="D61" s="341"/>
      <c r="E61" s="321" t="s">
        <v>221</v>
      </c>
      <c r="F61" s="333">
        <v>0</v>
      </c>
      <c r="G61" s="333">
        <v>3</v>
      </c>
      <c r="H61" s="320" t="s">
        <v>219</v>
      </c>
      <c r="I61" s="116"/>
      <c r="J61" s="117"/>
      <c r="K61" s="127"/>
      <c r="L61" s="123"/>
      <c r="M61" s="123"/>
      <c r="N61" s="123"/>
      <c r="O61" s="128"/>
      <c r="P61" s="123"/>
      <c r="Q61" s="123"/>
      <c r="R61" s="129"/>
      <c r="S61" s="123"/>
      <c r="T61" s="123"/>
      <c r="U61" s="130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4"/>
      <c r="BC61" s="129"/>
      <c r="BD61" s="124"/>
      <c r="BE61" s="124"/>
      <c r="BF61" s="124"/>
      <c r="BG61" s="124"/>
      <c r="BH61" s="124"/>
      <c r="BI61" s="124"/>
      <c r="BJ61" s="125"/>
      <c r="BK61" s="321" t="s">
        <v>222</v>
      </c>
      <c r="BL61" s="332">
        <v>2</v>
      </c>
      <c r="BM61" s="332">
        <v>1</v>
      </c>
      <c r="BN61" s="332">
        <v>1</v>
      </c>
      <c r="BO61" s="332">
        <v>0</v>
      </c>
      <c r="BP61" s="332">
        <v>8</v>
      </c>
      <c r="BQ61" s="332">
        <v>11</v>
      </c>
      <c r="BR61" s="332">
        <v>-3</v>
      </c>
      <c r="BS61" s="332">
        <v>3</v>
      </c>
      <c r="BT61" s="126"/>
    </row>
    <row r="62" spans="1:72" ht="30" customHeight="1" thickBot="1" x14ac:dyDescent="0.35">
      <c r="A62" s="72"/>
      <c r="B62" s="301">
        <v>45213</v>
      </c>
      <c r="C62" s="80">
        <v>0.54166666666666663</v>
      </c>
      <c r="D62" s="341"/>
      <c r="E62" s="321" t="s">
        <v>222</v>
      </c>
      <c r="F62" s="333">
        <v>1</v>
      </c>
      <c r="G62" s="333">
        <v>7</v>
      </c>
      <c r="H62" s="320" t="s">
        <v>234</v>
      </c>
      <c r="I62" s="116"/>
      <c r="J62" s="117"/>
      <c r="K62" s="127"/>
      <c r="L62" s="123"/>
      <c r="M62" s="123"/>
      <c r="N62" s="123"/>
      <c r="O62" s="128"/>
      <c r="P62" s="123"/>
      <c r="Q62" s="123"/>
      <c r="R62" s="129"/>
      <c r="S62" s="123"/>
      <c r="T62" s="123"/>
      <c r="U62" s="130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4"/>
      <c r="BC62" s="129"/>
      <c r="BD62" s="124"/>
      <c r="BE62" s="124"/>
      <c r="BF62" s="124"/>
      <c r="BG62" s="124"/>
      <c r="BH62" s="124"/>
      <c r="BI62" s="124"/>
      <c r="BJ62" s="125"/>
      <c r="BK62" s="319" t="s">
        <v>219</v>
      </c>
      <c r="BL62" s="331">
        <v>3</v>
      </c>
      <c r="BM62" s="331">
        <v>1</v>
      </c>
      <c r="BN62" s="331">
        <v>2</v>
      </c>
      <c r="BO62" s="331">
        <v>0</v>
      </c>
      <c r="BP62" s="331">
        <v>8</v>
      </c>
      <c r="BQ62" s="331">
        <v>28</v>
      </c>
      <c r="BR62" s="331">
        <v>-20</v>
      </c>
      <c r="BS62" s="331">
        <v>3</v>
      </c>
      <c r="BT62" s="126"/>
    </row>
    <row r="63" spans="1:72" ht="39.950000000000003" customHeight="1" thickBot="1" x14ac:dyDescent="0.35">
      <c r="A63" s="72"/>
      <c r="B63" s="301">
        <v>45216</v>
      </c>
      <c r="C63" s="80">
        <v>0.66666666666666663</v>
      </c>
      <c r="D63" s="341"/>
      <c r="E63" s="322" t="s">
        <v>235</v>
      </c>
      <c r="F63" s="333"/>
      <c r="G63" s="333"/>
      <c r="H63" s="320" t="s">
        <v>234</v>
      </c>
      <c r="I63" s="116"/>
      <c r="J63" s="117"/>
      <c r="K63" s="127"/>
      <c r="L63" s="123"/>
      <c r="M63" s="123"/>
      <c r="N63" s="123"/>
      <c r="O63" s="128"/>
      <c r="P63" s="123"/>
      <c r="Q63" s="123"/>
      <c r="R63" s="129"/>
      <c r="S63" s="123"/>
      <c r="T63" s="123"/>
      <c r="U63" s="130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4"/>
      <c r="BC63" s="129"/>
      <c r="BD63" s="124"/>
      <c r="BE63" s="124"/>
      <c r="BF63" s="124"/>
      <c r="BG63" s="124"/>
      <c r="BH63" s="124"/>
      <c r="BI63" s="124"/>
      <c r="BJ63" s="125"/>
      <c r="BK63" s="321" t="s">
        <v>221</v>
      </c>
      <c r="BL63" s="332">
        <v>2</v>
      </c>
      <c r="BM63" s="332">
        <v>0</v>
      </c>
      <c r="BN63" s="332">
        <v>2</v>
      </c>
      <c r="BO63" s="332">
        <v>0</v>
      </c>
      <c r="BP63" s="332">
        <v>0</v>
      </c>
      <c r="BQ63" s="332">
        <v>6</v>
      </c>
      <c r="BR63" s="332">
        <v>-6</v>
      </c>
      <c r="BS63" s="332">
        <v>0</v>
      </c>
      <c r="BT63" s="126"/>
    </row>
    <row r="64" spans="1:72" ht="39.950000000000003" customHeight="1" thickBot="1" x14ac:dyDescent="0.35">
      <c r="A64" s="72"/>
      <c r="B64" s="301" t="s">
        <v>249</v>
      </c>
      <c r="C64" s="80">
        <v>0.70833333333333337</v>
      </c>
      <c r="D64" s="341"/>
      <c r="E64" s="321" t="s">
        <v>221</v>
      </c>
      <c r="F64" s="333">
        <v>0</v>
      </c>
      <c r="G64" s="333">
        <v>3</v>
      </c>
      <c r="H64" s="319" t="s">
        <v>222</v>
      </c>
      <c r="I64" s="116"/>
      <c r="J64" s="117"/>
      <c r="K64" s="127"/>
      <c r="L64" s="123"/>
      <c r="M64" s="123"/>
      <c r="N64" s="123"/>
      <c r="O64" s="128"/>
      <c r="P64" s="123"/>
      <c r="Q64" s="123"/>
      <c r="R64" s="129"/>
      <c r="S64" s="123"/>
      <c r="T64" s="123"/>
      <c r="U64" s="130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4"/>
      <c r="BC64" s="129"/>
      <c r="BD64" s="124"/>
      <c r="BE64" s="124"/>
      <c r="BF64" s="124"/>
      <c r="BG64" s="124"/>
      <c r="BH64" s="124"/>
      <c r="BI64" s="124"/>
      <c r="BJ64" s="125"/>
      <c r="BK64" s="320"/>
      <c r="BL64" s="332"/>
      <c r="BM64" s="332"/>
      <c r="BN64" s="332"/>
      <c r="BO64" s="332"/>
      <c r="BP64" s="332"/>
      <c r="BQ64" s="332"/>
      <c r="BR64" s="332"/>
      <c r="BS64" s="332"/>
      <c r="BT64" s="126"/>
    </row>
    <row r="65" spans="1:72" ht="39.950000000000003" customHeight="1" thickBot="1" x14ac:dyDescent="0.35">
      <c r="A65" s="72"/>
      <c r="B65" s="313" t="s">
        <v>253</v>
      </c>
      <c r="C65" s="312" t="s">
        <v>254</v>
      </c>
      <c r="D65" s="341"/>
      <c r="E65" s="321" t="s">
        <v>219</v>
      </c>
      <c r="F65" s="333"/>
      <c r="G65" s="333"/>
      <c r="H65" s="319" t="s">
        <v>222</v>
      </c>
      <c r="I65" s="116"/>
      <c r="J65" s="117"/>
      <c r="K65" s="127"/>
      <c r="L65" s="123"/>
      <c r="M65" s="123"/>
      <c r="N65" s="123"/>
      <c r="O65" s="128"/>
      <c r="P65" s="123"/>
      <c r="Q65" s="123"/>
      <c r="R65" s="129"/>
      <c r="S65" s="123"/>
      <c r="T65" s="123"/>
      <c r="U65" s="130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4"/>
      <c r="BC65" s="129"/>
      <c r="BD65" s="124"/>
      <c r="BE65" s="124"/>
      <c r="BF65" s="124"/>
      <c r="BG65" s="124"/>
      <c r="BH65" s="124"/>
      <c r="BI65" s="124"/>
      <c r="BJ65" s="125"/>
      <c r="BK65" s="319"/>
      <c r="BL65" s="332"/>
      <c r="BM65" s="332"/>
      <c r="BN65" s="332"/>
      <c r="BO65" s="332"/>
      <c r="BP65" s="332"/>
      <c r="BQ65" s="332"/>
      <c r="BR65" s="332"/>
      <c r="BS65" s="332"/>
      <c r="BT65" s="126"/>
    </row>
    <row r="66" spans="1:72" ht="39.950000000000003" customHeight="1" thickBot="1" x14ac:dyDescent="0.35">
      <c r="A66" s="72"/>
      <c r="B66" s="313" t="s">
        <v>253</v>
      </c>
      <c r="C66" s="312" t="s">
        <v>240</v>
      </c>
      <c r="D66" s="341"/>
      <c r="E66" s="323" t="s">
        <v>235</v>
      </c>
      <c r="F66" s="333">
        <v>3</v>
      </c>
      <c r="G66" s="333">
        <v>0</v>
      </c>
      <c r="H66" s="319" t="s">
        <v>221</v>
      </c>
      <c r="I66" s="116"/>
      <c r="J66" s="117"/>
      <c r="K66" s="127"/>
      <c r="L66" s="123"/>
      <c r="M66" s="123"/>
      <c r="N66" s="123"/>
      <c r="O66" s="128"/>
      <c r="P66" s="123"/>
      <c r="Q66" s="123"/>
      <c r="R66" s="129"/>
      <c r="S66" s="123"/>
      <c r="T66" s="123"/>
      <c r="U66" s="130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4"/>
      <c r="BC66" s="129"/>
      <c r="BD66" s="124"/>
      <c r="BE66" s="124"/>
      <c r="BF66" s="124"/>
      <c r="BG66" s="124"/>
      <c r="BH66" s="124"/>
      <c r="BI66" s="124"/>
      <c r="BJ66" s="125"/>
      <c r="BK66" s="321"/>
      <c r="BL66" s="332"/>
      <c r="BM66" s="332"/>
      <c r="BN66" s="332"/>
      <c r="BO66" s="332"/>
      <c r="BP66" s="332"/>
      <c r="BQ66" s="332"/>
      <c r="BR66" s="332"/>
      <c r="BS66" s="332"/>
      <c r="BT66" s="126"/>
    </row>
    <row r="67" spans="1:72" ht="39.950000000000003" customHeight="1" thickBot="1" x14ac:dyDescent="0.35">
      <c r="A67" s="72"/>
      <c r="B67" s="313"/>
      <c r="C67" s="312"/>
      <c r="D67" s="341"/>
      <c r="E67" s="321"/>
      <c r="F67" s="300"/>
      <c r="G67" s="300"/>
      <c r="H67" s="318"/>
      <c r="I67" s="116"/>
      <c r="J67" s="117"/>
      <c r="K67" s="127"/>
      <c r="L67" s="123"/>
      <c r="M67" s="123"/>
      <c r="N67" s="123"/>
      <c r="O67" s="128"/>
      <c r="P67" s="123"/>
      <c r="Q67" s="123"/>
      <c r="R67" s="129"/>
      <c r="S67" s="123"/>
      <c r="T67" s="123"/>
      <c r="U67" s="130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4"/>
      <c r="BC67" s="129"/>
      <c r="BD67" s="124"/>
      <c r="BE67" s="124"/>
      <c r="BF67" s="124"/>
      <c r="BG67" s="124"/>
      <c r="BH67" s="124"/>
      <c r="BI67" s="124"/>
      <c r="BJ67" s="125"/>
      <c r="BK67" s="319"/>
      <c r="BL67" s="331"/>
      <c r="BM67" s="331"/>
      <c r="BN67" s="331"/>
      <c r="BO67" s="331"/>
      <c r="BP67" s="331"/>
      <c r="BQ67" s="331"/>
      <c r="BR67" s="331"/>
      <c r="BS67" s="331"/>
      <c r="BT67" s="126"/>
    </row>
    <row r="68" spans="1:72" ht="39.950000000000003" customHeight="1" thickBot="1" x14ac:dyDescent="0.35">
      <c r="A68" s="72"/>
      <c r="B68" s="314"/>
      <c r="C68" s="315"/>
      <c r="D68" s="341"/>
      <c r="E68" s="321"/>
      <c r="F68" s="300"/>
      <c r="G68" s="300"/>
      <c r="H68" s="318"/>
      <c r="I68" s="116"/>
      <c r="J68" s="117"/>
      <c r="K68" s="127" t="str">
        <f>IF(W68="","Çeyrek Finalist",IF(W68=1,E68,H68))</f>
        <v>Çeyrek Finalist</v>
      </c>
      <c r="L68" s="123"/>
      <c r="M68" s="123"/>
      <c r="N68" s="123"/>
      <c r="O68" s="128"/>
      <c r="P68" s="123"/>
      <c r="Q68" s="123"/>
      <c r="R68" s="129"/>
      <c r="S68" s="123"/>
      <c r="T68" s="123"/>
      <c r="U68" s="130"/>
      <c r="V68" s="123"/>
      <c r="W68" s="123" t="str">
        <f>IF(G68="","",IF(F68&gt;G68,1,IF(F68&lt;G68,2,IF(I68&gt;J68,1,2))))</f>
        <v/>
      </c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321"/>
      <c r="BL68" s="332"/>
      <c r="BM68" s="332"/>
      <c r="BN68" s="332"/>
      <c r="BO68" s="332"/>
      <c r="BP68" s="332"/>
      <c r="BQ68" s="332"/>
      <c r="BR68" s="332"/>
      <c r="BS68" s="332"/>
      <c r="BT68" s="126"/>
    </row>
    <row r="69" spans="1:72" ht="30" customHeight="1" x14ac:dyDescent="0.3">
      <c r="A69" s="72"/>
      <c r="B69" s="50"/>
      <c r="C69" s="133"/>
      <c r="D69" s="348"/>
      <c r="E69" s="50"/>
      <c r="G69" s="133"/>
      <c r="H69" s="50"/>
      <c r="N69" s="48"/>
      <c r="O69" s="43"/>
      <c r="Q69" s="49"/>
      <c r="R69" s="43"/>
    </row>
    <row r="70" spans="1:72" ht="15" customHeight="1" thickBot="1" x14ac:dyDescent="0.35">
      <c r="A70" s="72"/>
      <c r="B70" s="50"/>
      <c r="C70" s="133"/>
      <c r="D70" s="349"/>
      <c r="E70" s="50"/>
      <c r="G70" s="133"/>
      <c r="H70" s="50"/>
      <c r="N70" s="48"/>
      <c r="O70" s="43"/>
      <c r="Q70" s="49"/>
      <c r="R70" s="43"/>
    </row>
    <row r="71" spans="1:72" ht="20.100000000000001" customHeight="1" x14ac:dyDescent="1.05">
      <c r="A71" s="132"/>
      <c r="B71" s="50"/>
      <c r="C71" s="133"/>
      <c r="D71" s="131"/>
      <c r="E71" s="50"/>
      <c r="G71" s="133"/>
      <c r="H71" s="50"/>
      <c r="N71" s="48"/>
      <c r="O71" s="43"/>
      <c r="Q71" s="49"/>
      <c r="R71" s="43"/>
    </row>
    <row r="72" spans="1:72" ht="20.100000000000001" customHeight="1" x14ac:dyDescent="1.05">
      <c r="A72" s="132"/>
      <c r="B72" s="50"/>
      <c r="C72" s="133"/>
      <c r="D72" s="131"/>
      <c r="E72" s="50"/>
      <c r="G72" s="133"/>
      <c r="H72" s="50"/>
      <c r="N72" s="48"/>
      <c r="O72" s="43"/>
      <c r="Q72" s="49"/>
      <c r="R72" s="43"/>
    </row>
    <row r="73" spans="1:72" ht="20.100000000000001" customHeight="1" x14ac:dyDescent="1.05">
      <c r="A73" s="132"/>
      <c r="B73" s="50"/>
      <c r="C73" s="133"/>
      <c r="D73" s="131"/>
      <c r="E73" s="50"/>
      <c r="G73" s="133"/>
      <c r="H73" s="50"/>
      <c r="N73" s="48"/>
      <c r="O73" s="43"/>
      <c r="Q73" s="49"/>
      <c r="R73" s="43"/>
    </row>
    <row r="74" spans="1:72" ht="20.100000000000001" customHeight="1" x14ac:dyDescent="1.05">
      <c r="A74" s="132"/>
      <c r="B74" s="50"/>
      <c r="C74" s="133"/>
      <c r="D74" s="131"/>
      <c r="E74" s="50"/>
      <c r="G74" s="133"/>
      <c r="H74" s="50"/>
      <c r="N74" s="48"/>
      <c r="O74" s="43"/>
      <c r="Q74" s="49"/>
      <c r="R74" s="43"/>
    </row>
    <row r="75" spans="1:72" s="71" customFormat="1" ht="20.100000000000001" customHeight="1" x14ac:dyDescent="1.05">
      <c r="A75" s="132"/>
      <c r="B75" s="50"/>
      <c r="C75" s="133"/>
      <c r="D75" s="131"/>
      <c r="E75" s="50"/>
      <c r="F75" s="45"/>
      <c r="G75" s="133"/>
      <c r="H75" s="50"/>
      <c r="I75" s="43"/>
      <c r="J75" s="43"/>
      <c r="K75" s="43"/>
      <c r="L75" s="43"/>
      <c r="M75" s="43"/>
      <c r="N75" s="48"/>
      <c r="O75" s="43"/>
      <c r="P75" s="43"/>
      <c r="Q75" s="49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50"/>
      <c r="BL75" s="51"/>
      <c r="BM75" s="51"/>
      <c r="BN75" s="51"/>
      <c r="BO75" s="51"/>
      <c r="BP75" s="51"/>
      <c r="BQ75" s="51"/>
      <c r="BR75" s="51"/>
      <c r="BS75" s="51"/>
      <c r="BT75" s="43"/>
    </row>
    <row r="76" spans="1:72" ht="20.100000000000001" customHeight="1" x14ac:dyDescent="1.05">
      <c r="A76" s="132"/>
      <c r="B76" s="50"/>
      <c r="C76" s="133"/>
      <c r="D76" s="131"/>
      <c r="E76" s="50"/>
      <c r="G76" s="133"/>
      <c r="H76" s="50"/>
      <c r="N76" s="48"/>
      <c r="O76" s="43"/>
      <c r="Q76" s="49"/>
      <c r="R76" s="43"/>
    </row>
    <row r="77" spans="1:72" ht="20.100000000000001" customHeight="1" x14ac:dyDescent="1.05">
      <c r="A77" s="132"/>
      <c r="B77" s="50"/>
      <c r="C77" s="133"/>
      <c r="D77" s="131"/>
      <c r="E77" s="50"/>
      <c r="G77" s="133"/>
      <c r="H77" s="50"/>
      <c r="N77" s="48"/>
      <c r="O77" s="43"/>
      <c r="Q77" s="49"/>
      <c r="R77" s="43"/>
    </row>
    <row r="78" spans="1:72" ht="20.100000000000001" customHeight="1" x14ac:dyDescent="1.05">
      <c r="A78" s="132"/>
      <c r="B78" s="50"/>
      <c r="C78" s="133"/>
      <c r="D78" s="131"/>
      <c r="E78" s="50"/>
      <c r="G78" s="133"/>
      <c r="H78" s="50"/>
      <c r="N78" s="48"/>
      <c r="O78" s="43"/>
      <c r="Q78" s="49"/>
      <c r="R78" s="43"/>
    </row>
    <row r="79" spans="1:72" ht="20.100000000000001" customHeight="1" x14ac:dyDescent="1.05">
      <c r="A79" s="132"/>
      <c r="B79" s="50"/>
      <c r="C79" s="133"/>
      <c r="D79" s="131"/>
      <c r="E79" s="50"/>
      <c r="G79" s="133"/>
      <c r="H79" s="50"/>
      <c r="N79" s="48"/>
      <c r="O79" s="43"/>
      <c r="Q79" s="49"/>
      <c r="R79" s="43"/>
    </row>
    <row r="80" spans="1:72" s="71" customFormat="1" ht="20.100000000000001" customHeight="1" x14ac:dyDescent="1.05">
      <c r="A80" s="132"/>
      <c r="B80" s="50"/>
      <c r="C80" s="133"/>
      <c r="D80" s="131"/>
      <c r="E80" s="50"/>
      <c r="F80" s="45"/>
      <c r="G80" s="133"/>
      <c r="H80" s="50"/>
      <c r="I80" s="43"/>
      <c r="J80" s="43"/>
      <c r="K80" s="43"/>
      <c r="L80" s="43"/>
      <c r="M80" s="43"/>
      <c r="N80" s="48"/>
      <c r="O80" s="43"/>
      <c r="P80" s="43"/>
      <c r="Q80" s="49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50"/>
      <c r="BL80" s="51"/>
      <c r="BM80" s="51"/>
      <c r="BN80" s="51"/>
      <c r="BO80" s="51"/>
      <c r="BP80" s="51"/>
      <c r="BQ80" s="51"/>
      <c r="BR80" s="51"/>
      <c r="BS80" s="51"/>
      <c r="BT80" s="43"/>
    </row>
    <row r="81" spans="1:72" ht="20.100000000000001" customHeight="1" x14ac:dyDescent="1.05">
      <c r="A81" s="132"/>
      <c r="B81" s="50"/>
      <c r="C81" s="133"/>
      <c r="D81" s="131"/>
      <c r="E81" s="50"/>
      <c r="G81" s="133"/>
      <c r="H81" s="50"/>
      <c r="N81" s="48"/>
      <c r="O81" s="43"/>
      <c r="Q81" s="49"/>
      <c r="R81" s="43"/>
    </row>
    <row r="82" spans="1:72" ht="20.100000000000001" customHeight="1" x14ac:dyDescent="1.05">
      <c r="A82" s="132"/>
      <c r="B82" s="50"/>
      <c r="C82" s="133"/>
      <c r="D82" s="131"/>
      <c r="E82" s="50"/>
      <c r="G82" s="133"/>
      <c r="H82" s="50"/>
      <c r="N82" s="48"/>
      <c r="O82" s="43"/>
      <c r="Q82" s="49"/>
      <c r="R82" s="43"/>
    </row>
    <row r="83" spans="1:72" ht="20.100000000000001" customHeight="1" x14ac:dyDescent="1.05">
      <c r="A83" s="132"/>
      <c r="B83" s="50"/>
      <c r="C83" s="133"/>
      <c r="D83" s="131"/>
      <c r="E83" s="50"/>
      <c r="G83" s="133"/>
      <c r="H83" s="50"/>
      <c r="N83" s="48"/>
      <c r="O83" s="43"/>
      <c r="Q83" s="49"/>
      <c r="R83" s="43"/>
    </row>
    <row r="84" spans="1:72" ht="20.100000000000001" customHeight="1" x14ac:dyDescent="1.05">
      <c r="A84" s="132"/>
      <c r="B84" s="50"/>
      <c r="C84" s="133"/>
      <c r="D84" s="131"/>
      <c r="E84" s="50"/>
      <c r="G84" s="133"/>
      <c r="H84" s="50"/>
      <c r="N84" s="48"/>
      <c r="O84" s="43"/>
      <c r="Q84" s="49"/>
      <c r="R84" s="43"/>
    </row>
    <row r="85" spans="1:72" ht="20.100000000000001" customHeight="1" x14ac:dyDescent="1.05">
      <c r="A85" s="132"/>
      <c r="B85" s="50"/>
      <c r="C85" s="133"/>
      <c r="D85" s="131"/>
      <c r="E85" s="50"/>
      <c r="G85" s="133"/>
      <c r="H85" s="50"/>
      <c r="N85" s="48"/>
      <c r="O85" s="43"/>
      <c r="Q85" s="49"/>
      <c r="R85" s="43"/>
    </row>
    <row r="86" spans="1:72" ht="20.100000000000001" customHeight="1" x14ac:dyDescent="1.05">
      <c r="A86" s="132"/>
      <c r="B86" s="50"/>
      <c r="C86" s="133"/>
      <c r="D86" s="131"/>
      <c r="E86" s="50"/>
      <c r="G86" s="133"/>
      <c r="H86" s="50"/>
      <c r="N86" s="48"/>
      <c r="O86" s="43"/>
      <c r="Q86" s="49"/>
      <c r="R86" s="43"/>
    </row>
    <row r="87" spans="1:72" s="71" customFormat="1" ht="20.100000000000001" customHeight="1" x14ac:dyDescent="1.05">
      <c r="A87" s="132"/>
      <c r="B87" s="50"/>
      <c r="C87" s="133"/>
      <c r="D87" s="131"/>
      <c r="E87" s="50"/>
      <c r="F87" s="45"/>
      <c r="G87" s="133"/>
      <c r="H87" s="50"/>
      <c r="I87" s="43"/>
      <c r="J87" s="43"/>
      <c r="K87" s="43"/>
      <c r="L87" s="43"/>
      <c r="M87" s="43"/>
      <c r="N87" s="48"/>
      <c r="O87" s="43"/>
      <c r="P87" s="43"/>
      <c r="Q87" s="49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50"/>
      <c r="BL87" s="51"/>
      <c r="BM87" s="51"/>
      <c r="BN87" s="51"/>
      <c r="BO87" s="51"/>
      <c r="BP87" s="51"/>
      <c r="BQ87" s="51"/>
      <c r="BR87" s="51"/>
      <c r="BS87" s="51"/>
      <c r="BT87" s="43"/>
    </row>
    <row r="88" spans="1:72" ht="20.100000000000001" customHeight="1" x14ac:dyDescent="1.05">
      <c r="A88" s="132"/>
      <c r="B88" s="50"/>
      <c r="C88" s="133"/>
      <c r="D88" s="131"/>
      <c r="E88" s="50"/>
      <c r="G88" s="133"/>
      <c r="H88" s="50"/>
      <c r="N88" s="48"/>
      <c r="O88" s="43"/>
      <c r="Q88" s="49"/>
      <c r="R88" s="43"/>
    </row>
    <row r="89" spans="1:72" ht="20.100000000000001" customHeight="1" x14ac:dyDescent="1.05">
      <c r="A89" s="132"/>
      <c r="B89" s="50"/>
      <c r="C89" s="133"/>
      <c r="D89" s="131"/>
      <c r="E89" s="50"/>
      <c r="G89" s="133"/>
      <c r="H89" s="50"/>
      <c r="N89" s="48"/>
      <c r="O89" s="43"/>
      <c r="Q89" s="49"/>
      <c r="R89" s="43"/>
    </row>
    <row r="90" spans="1:72" ht="20.100000000000001" customHeight="1" x14ac:dyDescent="1.05">
      <c r="A90" s="132"/>
      <c r="B90" s="50"/>
      <c r="C90" s="133"/>
      <c r="D90" s="131"/>
      <c r="E90" s="50"/>
      <c r="G90" s="133"/>
      <c r="H90" s="50"/>
      <c r="N90" s="48"/>
      <c r="O90" s="43"/>
      <c r="Q90" s="49"/>
      <c r="R90" s="43"/>
    </row>
    <row r="91" spans="1:72" ht="20.100000000000001" customHeight="1" x14ac:dyDescent="1.05">
      <c r="A91" s="132"/>
      <c r="B91" s="50"/>
      <c r="C91" s="133"/>
      <c r="D91" s="131"/>
      <c r="E91" s="50"/>
      <c r="G91" s="133"/>
      <c r="H91" s="50"/>
      <c r="N91" s="48"/>
      <c r="O91" s="43"/>
      <c r="Q91" s="49"/>
      <c r="R91" s="43"/>
    </row>
    <row r="92" spans="1:72" ht="20.100000000000001" customHeight="1" x14ac:dyDescent="1.05">
      <c r="A92" s="132"/>
      <c r="B92" s="50"/>
      <c r="C92" s="133"/>
      <c r="D92" s="131"/>
      <c r="E92" s="50"/>
      <c r="G92" s="133"/>
      <c r="H92" s="50"/>
      <c r="N92" s="48"/>
      <c r="O92" s="43"/>
      <c r="Q92" s="49"/>
      <c r="R92" s="43"/>
    </row>
    <row r="93" spans="1:72" ht="20.100000000000001" customHeight="1" x14ac:dyDescent="1.05">
      <c r="A93" s="132"/>
      <c r="B93" s="50"/>
      <c r="C93" s="133"/>
      <c r="D93" s="131"/>
      <c r="E93" s="50"/>
      <c r="G93" s="133"/>
      <c r="H93" s="50"/>
      <c r="N93" s="48"/>
      <c r="O93" s="43"/>
      <c r="Q93" s="49"/>
      <c r="R93" s="43"/>
    </row>
    <row r="94" spans="1:72" ht="20.100000000000001" customHeight="1" x14ac:dyDescent="1.05">
      <c r="A94" s="132"/>
      <c r="B94" s="50"/>
      <c r="C94" s="133"/>
      <c r="D94" s="131"/>
      <c r="E94" s="50"/>
      <c r="G94" s="133"/>
      <c r="H94" s="50"/>
      <c r="N94" s="48"/>
      <c r="O94" s="43"/>
      <c r="Q94" s="49"/>
      <c r="R94" s="43"/>
    </row>
    <row r="95" spans="1:72" ht="20.100000000000001" customHeight="1" x14ac:dyDescent="1.05">
      <c r="A95" s="132"/>
      <c r="B95" s="50"/>
      <c r="C95" s="133"/>
      <c r="D95" s="131"/>
      <c r="E95" s="50"/>
      <c r="G95" s="133"/>
      <c r="H95" s="50"/>
      <c r="N95" s="48"/>
      <c r="O95" s="43"/>
      <c r="Q95" s="49"/>
      <c r="R95" s="43"/>
    </row>
    <row r="96" spans="1:72" ht="20.100000000000001" customHeight="1" x14ac:dyDescent="1.05">
      <c r="A96" s="132"/>
      <c r="B96" s="50"/>
      <c r="C96" s="133"/>
      <c r="D96" s="131"/>
      <c r="E96" s="50"/>
      <c r="G96" s="133"/>
      <c r="H96" s="50"/>
      <c r="N96" s="48"/>
      <c r="O96" s="43"/>
      <c r="Q96" s="49"/>
      <c r="R96" s="43"/>
    </row>
    <row r="97" spans="1:18" ht="20.100000000000001" customHeight="1" x14ac:dyDescent="1.05">
      <c r="A97" s="132"/>
      <c r="B97" s="50"/>
      <c r="C97" s="133"/>
      <c r="D97" s="131"/>
      <c r="E97" s="50"/>
      <c r="G97" s="133"/>
      <c r="H97" s="50"/>
      <c r="N97" s="48"/>
      <c r="O97" s="43"/>
      <c r="Q97" s="49"/>
      <c r="R97" s="43"/>
    </row>
    <row r="98" spans="1:18" ht="20.100000000000001" customHeight="1" x14ac:dyDescent="1.05">
      <c r="A98" s="132"/>
      <c r="B98" s="50"/>
      <c r="C98" s="133"/>
      <c r="D98" s="131"/>
      <c r="E98" s="50"/>
      <c r="G98" s="133"/>
      <c r="H98" s="50"/>
      <c r="N98" s="48"/>
      <c r="O98" s="43"/>
      <c r="Q98" s="49"/>
      <c r="R98" s="43"/>
    </row>
    <row r="99" spans="1:18" ht="20.100000000000001" customHeight="1" x14ac:dyDescent="1.05">
      <c r="A99" s="132"/>
    </row>
    <row r="100" spans="1:18" ht="20.100000000000001" customHeight="1" x14ac:dyDescent="1.05">
      <c r="A100" s="132"/>
    </row>
    <row r="101" spans="1:18" ht="20.100000000000001" customHeight="1" x14ac:dyDescent="1.05">
      <c r="A101" s="132"/>
    </row>
    <row r="102" spans="1:18" ht="20.100000000000001" customHeight="1" x14ac:dyDescent="1.05">
      <c r="A102" s="132"/>
    </row>
    <row r="103" spans="1:18" ht="20.100000000000001" customHeight="1" x14ac:dyDescent="1.05">
      <c r="A103" s="132"/>
    </row>
    <row r="104" spans="1:18" ht="20.100000000000001" customHeight="1" x14ac:dyDescent="1.05">
      <c r="A104" s="132"/>
    </row>
    <row r="105" spans="1:18" ht="20.100000000000001" customHeight="1" x14ac:dyDescent="1.05">
      <c r="A105" s="132"/>
    </row>
    <row r="106" spans="1:18" ht="20.100000000000001" customHeight="1" x14ac:dyDescent="1.05">
      <c r="A106" s="132"/>
    </row>
    <row r="107" spans="1:18" ht="20.100000000000001" customHeight="1" x14ac:dyDescent="1.05">
      <c r="A107" s="132"/>
    </row>
    <row r="108" spans="1:18" ht="20.100000000000001" customHeight="1" x14ac:dyDescent="1.05">
      <c r="A108" s="132"/>
    </row>
    <row r="109" spans="1:18" ht="20.100000000000001" customHeight="1" x14ac:dyDescent="1.05">
      <c r="A109" s="132"/>
    </row>
    <row r="110" spans="1:18" ht="20.100000000000001" customHeight="1" x14ac:dyDescent="1.05">
      <c r="A110" s="132"/>
    </row>
    <row r="111" spans="1:18" ht="20.100000000000001" customHeight="1" x14ac:dyDescent="1.05">
      <c r="A111" s="132"/>
    </row>
    <row r="112" spans="1:18" ht="20.100000000000001" customHeight="1" x14ac:dyDescent="1.05">
      <c r="A112" s="132"/>
    </row>
  </sheetData>
  <sheetProtection selectLockedCells="1" selectUnlockedCells="1"/>
  <mergeCells count="46">
    <mergeCell ref="BN4:BN5"/>
    <mergeCell ref="BP4:BP5"/>
    <mergeCell ref="BQ4:BQ5"/>
    <mergeCell ref="BS4:BS5"/>
    <mergeCell ref="BN22:BN23"/>
    <mergeCell ref="BP22:BP23"/>
    <mergeCell ref="BQ22:BQ23"/>
    <mergeCell ref="BS22:BS23"/>
    <mergeCell ref="BO4:BO5"/>
    <mergeCell ref="BO22:BO23"/>
    <mergeCell ref="BR4:BR5"/>
    <mergeCell ref="BR22:BR23"/>
    <mergeCell ref="D22:D36"/>
    <mergeCell ref="K22:K23"/>
    <mergeCell ref="BK22:BK23"/>
    <mergeCell ref="BL22:BL23"/>
    <mergeCell ref="BM22:BM23"/>
    <mergeCell ref="C1:BM1"/>
    <mergeCell ref="C2:BM2"/>
    <mergeCell ref="D4:D20"/>
    <mergeCell ref="K4:K5"/>
    <mergeCell ref="BK4:BK5"/>
    <mergeCell ref="BL4:BL5"/>
    <mergeCell ref="BM4:BM5"/>
    <mergeCell ref="BN41:BN42"/>
    <mergeCell ref="BP41:BP42"/>
    <mergeCell ref="BQ41:BQ42"/>
    <mergeCell ref="BS41:BS42"/>
    <mergeCell ref="D41:D52"/>
    <mergeCell ref="BK41:BK42"/>
    <mergeCell ref="BL41:BL42"/>
    <mergeCell ref="BM41:BM42"/>
    <mergeCell ref="BO41:BO42"/>
    <mergeCell ref="BR41:BR42"/>
    <mergeCell ref="D57:D68"/>
    <mergeCell ref="BK57:BK58"/>
    <mergeCell ref="BL57:BL58"/>
    <mergeCell ref="B53:BS53"/>
    <mergeCell ref="D69:D70"/>
    <mergeCell ref="BM57:BM58"/>
    <mergeCell ref="BN57:BN58"/>
    <mergeCell ref="BP57:BP58"/>
    <mergeCell ref="BQ57:BQ58"/>
    <mergeCell ref="BS57:BS58"/>
    <mergeCell ref="BO57:BO58"/>
    <mergeCell ref="BR57:BR58"/>
  </mergeCells>
  <pageMargins left="0.31496062992125984" right="0.15748031496062992" top="0.23622047244094491" bottom="0.23622047244094491" header="0.51181102362204722" footer="0.51181102362204722"/>
  <pageSetup paperSize="9" scale="24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Q23"/>
  <sheetViews>
    <sheetView view="pageBreakPreview" zoomScale="50" zoomScaleSheetLayoutView="50" workbookViewId="0">
      <selection activeCell="F29" sqref="F29"/>
    </sheetView>
  </sheetViews>
  <sheetFormatPr defaultRowHeight="12.75" x14ac:dyDescent="0.2"/>
  <cols>
    <col min="1" max="1" width="4" style="134" customWidth="1"/>
    <col min="2" max="3" width="10.7109375" customWidth="1"/>
    <col min="4" max="4" width="3.7109375" customWidth="1"/>
    <col min="5" max="6" width="10.7109375" customWidth="1"/>
    <col min="7" max="7" width="3.7109375" customWidth="1"/>
    <col min="8" max="9" width="10.7109375" customWidth="1"/>
    <col min="10" max="10" width="3.7109375" customWidth="1"/>
    <col min="11" max="12" width="10.7109375" customWidth="1"/>
    <col min="13" max="13" width="3.7109375" customWidth="1"/>
    <col min="14" max="15" width="10.7109375" customWidth="1"/>
    <col min="16" max="16" width="3.7109375" customWidth="1"/>
    <col min="17" max="17" width="4" style="134" customWidth="1"/>
  </cols>
  <sheetData>
    <row r="1" spans="1:17" ht="12.75" customHeight="1" x14ac:dyDescent="0.2">
      <c r="A1" s="370" t="s">
        <v>49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12.75" customHeight="1" x14ac:dyDescent="0.2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2.75" customHeight="1" x14ac:dyDescent="0.2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4" spans="1:17" ht="98.25" customHeight="1" x14ac:dyDescent="0.2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</row>
    <row r="5" spans="1:17" ht="7.5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2.75" customHeight="1" x14ac:dyDescent="0.2">
      <c r="B6" s="136"/>
      <c r="C6" s="136"/>
      <c r="D6" s="136"/>
      <c r="E6" s="136"/>
      <c r="F6" s="136"/>
      <c r="G6" s="136"/>
      <c r="H6" s="371" t="s">
        <v>50</v>
      </c>
      <c r="I6" s="371"/>
      <c r="J6" s="371"/>
      <c r="K6" s="136"/>
      <c r="L6" s="136"/>
      <c r="M6" s="136"/>
      <c r="N6" s="136"/>
      <c r="O6" s="136"/>
      <c r="P6" s="136"/>
    </row>
    <row r="7" spans="1:17" ht="12.75" customHeight="1" x14ac:dyDescent="0.2">
      <c r="B7" s="372" t="s">
        <v>51</v>
      </c>
      <c r="C7" s="372"/>
      <c r="D7" s="372"/>
      <c r="E7" s="373" t="s">
        <v>52</v>
      </c>
      <c r="F7" s="373"/>
      <c r="G7" s="373"/>
      <c r="H7" s="371"/>
      <c r="I7" s="371"/>
      <c r="J7" s="371"/>
      <c r="K7" s="373" t="s">
        <v>52</v>
      </c>
      <c r="L7" s="373"/>
      <c r="M7" s="373"/>
      <c r="N7" s="372" t="s">
        <v>51</v>
      </c>
      <c r="O7" s="372"/>
      <c r="P7" s="372"/>
    </row>
    <row r="8" spans="1:17" ht="12.75" customHeight="1" x14ac:dyDescent="0.2">
      <c r="B8" s="136"/>
      <c r="C8" s="136"/>
      <c r="D8" s="136"/>
      <c r="E8" s="136"/>
      <c r="F8" s="136"/>
      <c r="G8" s="136"/>
      <c r="H8" s="371"/>
      <c r="I8" s="371"/>
      <c r="J8" s="371"/>
      <c r="K8" s="136"/>
      <c r="L8" s="136"/>
      <c r="M8" s="136"/>
      <c r="N8" s="136"/>
      <c r="O8" s="136"/>
      <c r="P8" s="136"/>
    </row>
    <row r="9" spans="1:17" ht="12.75" customHeight="1" x14ac:dyDescent="0.2">
      <c r="A9" s="360" t="s">
        <v>53</v>
      </c>
      <c r="B9" s="361" t="e">
        <f>#REF!</f>
        <v>#REF!</v>
      </c>
      <c r="C9" s="361"/>
      <c r="D9" s="368">
        <v>6</v>
      </c>
      <c r="E9" s="134"/>
      <c r="F9" s="134"/>
      <c r="G9" s="134"/>
      <c r="H9" s="134"/>
      <c r="I9" s="134"/>
      <c r="J9" s="134"/>
      <c r="K9" s="134"/>
      <c r="L9" s="134"/>
      <c r="M9" s="134"/>
      <c r="N9" s="361" t="str">
        <f>GRUPE!H9</f>
        <v>100. YIL  İÖO</v>
      </c>
      <c r="O9" s="361"/>
      <c r="P9" s="368">
        <v>0</v>
      </c>
      <c r="Q9" s="362" t="s">
        <v>54</v>
      </c>
    </row>
    <row r="10" spans="1:17" x14ac:dyDescent="0.2">
      <c r="A10" s="360"/>
      <c r="B10" s="361"/>
      <c r="C10" s="361"/>
      <c r="D10" s="368"/>
      <c r="E10" s="374" t="e">
        <f>B9</f>
        <v>#REF!</v>
      </c>
      <c r="F10" s="374"/>
      <c r="G10" s="367">
        <v>1</v>
      </c>
      <c r="H10" s="369"/>
      <c r="I10" s="369"/>
      <c r="J10" s="369"/>
      <c r="K10" s="375" t="e">
        <f>N11</f>
        <v>#REF!</v>
      </c>
      <c r="L10" s="375"/>
      <c r="M10" s="367">
        <v>8</v>
      </c>
      <c r="N10" s="361"/>
      <c r="O10" s="361"/>
      <c r="P10" s="368"/>
      <c r="Q10" s="362"/>
    </row>
    <row r="11" spans="1:17" ht="12.75" customHeight="1" x14ac:dyDescent="0.2">
      <c r="A11" s="360" t="s">
        <v>55</v>
      </c>
      <c r="B11" s="361" t="e">
        <f>GRUPB!H9</f>
        <v>#N/A</v>
      </c>
      <c r="C11" s="361"/>
      <c r="D11" s="368">
        <v>2</v>
      </c>
      <c r="E11" s="374"/>
      <c r="F11" s="374"/>
      <c r="G11" s="367"/>
      <c r="H11" s="369"/>
      <c r="I11" s="369"/>
      <c r="J11" s="369"/>
      <c r="K11" s="375"/>
      <c r="L11" s="375"/>
      <c r="M11" s="367"/>
      <c r="N11" s="361" t="e">
        <f>#REF!</f>
        <v>#REF!</v>
      </c>
      <c r="O11" s="361"/>
      <c r="P11" s="368">
        <v>4</v>
      </c>
      <c r="Q11" s="362" t="s">
        <v>56</v>
      </c>
    </row>
    <row r="12" spans="1:17" x14ac:dyDescent="0.2">
      <c r="A12" s="360"/>
      <c r="B12" s="361"/>
      <c r="C12" s="361"/>
      <c r="D12" s="368"/>
      <c r="E12" s="363"/>
      <c r="F12" s="363"/>
      <c r="G12" s="363"/>
      <c r="H12" s="364" t="str">
        <f>E17</f>
        <v>ALPARSLAN İÖO</v>
      </c>
      <c r="I12" s="364"/>
      <c r="J12" s="365"/>
      <c r="K12" s="380"/>
      <c r="L12" s="380"/>
      <c r="M12" s="137"/>
      <c r="N12" s="361"/>
      <c r="O12" s="361"/>
      <c r="P12" s="368"/>
      <c r="Q12" s="362"/>
    </row>
    <row r="13" spans="1:17" x14ac:dyDescent="0.2">
      <c r="A13" s="138"/>
      <c r="B13" s="366">
        <v>38859.75</v>
      </c>
      <c r="C13" s="366"/>
      <c r="D13" s="366"/>
      <c r="E13" s="363"/>
      <c r="F13" s="363"/>
      <c r="G13" s="363"/>
      <c r="H13" s="364"/>
      <c r="I13" s="364"/>
      <c r="J13" s="365"/>
      <c r="K13" s="380"/>
      <c r="L13" s="380"/>
      <c r="M13" s="137"/>
      <c r="N13" s="366">
        <v>38860.75</v>
      </c>
      <c r="O13" s="366"/>
      <c r="P13" s="366"/>
    </row>
    <row r="14" spans="1:17" ht="11.25" customHeight="1" x14ac:dyDescent="0.2">
      <c r="A14" s="138"/>
      <c r="B14" s="139"/>
      <c r="C14" s="139"/>
      <c r="D14" s="139"/>
      <c r="E14" s="376">
        <v>38862.75</v>
      </c>
      <c r="F14" s="376"/>
      <c r="G14" s="376"/>
      <c r="H14" s="381">
        <v>38873.75</v>
      </c>
      <c r="I14" s="381"/>
      <c r="J14" s="381"/>
      <c r="K14" s="376">
        <v>38862.791666666664</v>
      </c>
      <c r="L14" s="376"/>
      <c r="M14" s="137"/>
      <c r="N14" s="134"/>
      <c r="O14" s="134"/>
      <c r="P14" s="134"/>
    </row>
    <row r="15" spans="1:17" x14ac:dyDescent="0.2">
      <c r="A15" s="138"/>
      <c r="B15" s="140"/>
      <c r="C15" s="140"/>
      <c r="D15" s="140"/>
      <c r="E15" s="377"/>
      <c r="F15" s="377"/>
      <c r="G15" s="377"/>
      <c r="H15" s="364" t="e">
        <f>K10</f>
        <v>#REF!</v>
      </c>
      <c r="I15" s="364"/>
      <c r="J15" s="378"/>
      <c r="K15" s="379"/>
      <c r="L15" s="379"/>
      <c r="M15" s="137"/>
      <c r="N15" s="134"/>
      <c r="O15" s="134"/>
      <c r="P15" s="134"/>
    </row>
    <row r="16" spans="1:17" ht="12.75" customHeight="1" x14ac:dyDescent="0.2">
      <c r="A16" s="360" t="s">
        <v>57</v>
      </c>
      <c r="B16" s="361" t="e">
        <f>GRUPC!H9</f>
        <v>#N/A</v>
      </c>
      <c r="C16" s="361"/>
      <c r="D16" s="368">
        <v>6</v>
      </c>
      <c r="E16" s="377"/>
      <c r="F16" s="377"/>
      <c r="G16" s="377"/>
      <c r="H16" s="364"/>
      <c r="I16" s="364"/>
      <c r="J16" s="378"/>
      <c r="K16" s="379"/>
      <c r="L16" s="379"/>
      <c r="M16" s="137"/>
      <c r="N16" s="361" t="str">
        <f>GRUPF!H9</f>
        <v>TİCARET MES. LİSESİ</v>
      </c>
      <c r="O16" s="361"/>
      <c r="P16" s="368">
        <v>4</v>
      </c>
      <c r="Q16" s="362" t="s">
        <v>58</v>
      </c>
    </row>
    <row r="17" spans="1:17" x14ac:dyDescent="0.2">
      <c r="A17" s="360"/>
      <c r="B17" s="361"/>
      <c r="C17" s="361"/>
      <c r="D17" s="368"/>
      <c r="E17" s="375" t="str">
        <f>B18</f>
        <v>ALPARSLAN İÖO</v>
      </c>
      <c r="F17" s="375"/>
      <c r="G17" s="385">
        <v>7</v>
      </c>
      <c r="H17" s="386"/>
      <c r="I17" s="386"/>
      <c r="J17" s="386"/>
      <c r="K17" s="375" t="str">
        <f>N16</f>
        <v>TİCARET MES. LİSESİ</v>
      </c>
      <c r="L17" s="375"/>
      <c r="M17" s="367">
        <v>2</v>
      </c>
      <c r="N17" s="361"/>
      <c r="O17" s="361"/>
      <c r="P17" s="368"/>
      <c r="Q17" s="362"/>
    </row>
    <row r="18" spans="1:17" ht="12.75" customHeight="1" x14ac:dyDescent="0.2">
      <c r="A18" s="360" t="s">
        <v>59</v>
      </c>
      <c r="B18" s="361" t="str">
        <f>GRUPD!H10</f>
        <v>ALPARSLAN İÖO</v>
      </c>
      <c r="C18" s="361"/>
      <c r="D18" s="368">
        <v>10</v>
      </c>
      <c r="E18" s="375"/>
      <c r="F18" s="375"/>
      <c r="G18" s="385"/>
      <c r="H18" s="386"/>
      <c r="I18" s="386"/>
      <c r="J18" s="386"/>
      <c r="K18" s="375"/>
      <c r="L18" s="375"/>
      <c r="M18" s="367"/>
      <c r="N18" s="361" t="str">
        <f>GRUPE!H10</f>
        <v>YAVUZ SELİM İÖO</v>
      </c>
      <c r="O18" s="361"/>
      <c r="P18" s="368">
        <v>0</v>
      </c>
      <c r="Q18" s="362" t="s">
        <v>60</v>
      </c>
    </row>
    <row r="19" spans="1:17" x14ac:dyDescent="0.2">
      <c r="A19" s="360"/>
      <c r="B19" s="361"/>
      <c r="C19" s="361"/>
      <c r="D19" s="368"/>
      <c r="E19" s="134"/>
      <c r="F19" s="134"/>
      <c r="G19" s="134"/>
      <c r="H19" s="134"/>
      <c r="I19" s="134"/>
      <c r="J19" s="134"/>
      <c r="K19" s="134"/>
      <c r="L19" s="134"/>
      <c r="M19" s="134"/>
      <c r="N19" s="361"/>
      <c r="O19" s="361"/>
      <c r="P19" s="368"/>
      <c r="Q19" s="362"/>
    </row>
    <row r="20" spans="1:17" x14ac:dyDescent="0.2">
      <c r="B20" s="382">
        <v>38859.791666666664</v>
      </c>
      <c r="C20" s="382"/>
      <c r="D20" s="382"/>
      <c r="N20" s="382">
        <v>38860.791666666664</v>
      </c>
      <c r="O20" s="382"/>
      <c r="P20" s="382"/>
    </row>
    <row r="21" spans="1:17" ht="6.75" customHeight="1" x14ac:dyDescent="0.2"/>
    <row r="22" spans="1:17" x14ac:dyDescent="0.2">
      <c r="H22" s="383" t="s">
        <v>61</v>
      </c>
      <c r="I22" s="383"/>
      <c r="J22" s="383"/>
    </row>
    <row r="23" spans="1:17" x14ac:dyDescent="0.2">
      <c r="H23" s="384">
        <v>38867.75</v>
      </c>
      <c r="I23" s="384"/>
      <c r="J23" s="384"/>
    </row>
  </sheetData>
  <sheetProtection selectLockedCells="1" selectUnlockedCells="1"/>
  <mergeCells count="57">
    <mergeCell ref="B20:D20"/>
    <mergeCell ref="N20:P20"/>
    <mergeCell ref="H22:J22"/>
    <mergeCell ref="H23:J23"/>
    <mergeCell ref="M17:M18"/>
    <mergeCell ref="E17:F18"/>
    <mergeCell ref="G17:G18"/>
    <mergeCell ref="H17:J18"/>
    <mergeCell ref="Q18:Q19"/>
    <mergeCell ref="Q16:Q17"/>
    <mergeCell ref="K12:L13"/>
    <mergeCell ref="A16:A17"/>
    <mergeCell ref="B16:C17"/>
    <mergeCell ref="D16:D17"/>
    <mergeCell ref="N16:O17"/>
    <mergeCell ref="P16:P17"/>
    <mergeCell ref="A18:A19"/>
    <mergeCell ref="B18:C19"/>
    <mergeCell ref="D18:D19"/>
    <mergeCell ref="N18:O19"/>
    <mergeCell ref="P18:P19"/>
    <mergeCell ref="K17:L18"/>
    <mergeCell ref="E14:G14"/>
    <mergeCell ref="H14:J14"/>
    <mergeCell ref="K14:L14"/>
    <mergeCell ref="E15:G16"/>
    <mergeCell ref="H15:I16"/>
    <mergeCell ref="J15:J16"/>
    <mergeCell ref="K15:L16"/>
    <mergeCell ref="D11:D12"/>
    <mergeCell ref="N11:O12"/>
    <mergeCell ref="P11:P12"/>
    <mergeCell ref="Q9:Q10"/>
    <mergeCell ref="E10:F11"/>
    <mergeCell ref="K10:L11"/>
    <mergeCell ref="A1:Q4"/>
    <mergeCell ref="H6:J8"/>
    <mergeCell ref="B7:D7"/>
    <mergeCell ref="E7:G7"/>
    <mergeCell ref="K7:M7"/>
    <mergeCell ref="N7:P7"/>
    <mergeCell ref="A9:A10"/>
    <mergeCell ref="A11:A12"/>
    <mergeCell ref="B11:C12"/>
    <mergeCell ref="Q11:Q12"/>
    <mergeCell ref="E12:G13"/>
    <mergeCell ref="H12:I13"/>
    <mergeCell ref="J12:J13"/>
    <mergeCell ref="B13:D13"/>
    <mergeCell ref="N13:P13"/>
    <mergeCell ref="M10:M11"/>
    <mergeCell ref="B9:C10"/>
    <mergeCell ref="D9:D10"/>
    <mergeCell ref="N9:O10"/>
    <mergeCell ref="P9:P10"/>
    <mergeCell ref="G10:G11"/>
    <mergeCell ref="H10:J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indexed="11"/>
    <pageSetUpPr fitToPage="1"/>
  </sheetPr>
  <dimension ref="A1:M56"/>
  <sheetViews>
    <sheetView view="pageBreakPreview" topLeftCell="A46" zoomScale="50" zoomScaleSheetLayoutView="50" workbookViewId="0">
      <selection activeCell="E44" sqref="E44"/>
    </sheetView>
  </sheetViews>
  <sheetFormatPr defaultColWidth="9.140625" defaultRowHeight="9" x14ac:dyDescent="0.15"/>
  <cols>
    <col min="1" max="1" width="18" style="141" customWidth="1"/>
    <col min="2" max="2" width="3.7109375" style="142" customWidth="1"/>
    <col min="3" max="3" width="2.7109375" style="143" customWidth="1"/>
    <col min="4" max="4" width="3.7109375" style="142" customWidth="1"/>
    <col min="5" max="5" width="19.28515625" style="141" customWidth="1"/>
    <col min="6" max="6" width="16.7109375" style="141" customWidth="1"/>
    <col min="7" max="7" width="1.5703125" style="141" customWidth="1"/>
    <col min="8" max="8" width="17.5703125" style="141" customWidth="1"/>
    <col min="9" max="9" width="3.7109375" style="144" customWidth="1"/>
    <col min="10" max="10" width="2.7109375" style="141" customWidth="1"/>
    <col min="11" max="11" width="3.7109375" style="144" customWidth="1"/>
    <col min="12" max="12" width="18" style="141" customWidth="1"/>
    <col min="13" max="13" width="16.7109375" style="141" customWidth="1"/>
    <col min="14" max="16384" width="9.140625" style="141"/>
  </cols>
  <sheetData>
    <row r="1" spans="1:13" ht="15" customHeight="1" x14ac:dyDescent="0.15">
      <c r="A1" s="388" t="s">
        <v>49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15" customHeight="1" x14ac:dyDescent="0.1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68.25" customHeight="1" x14ac:dyDescent="0.15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</row>
    <row r="4" spans="1:13" ht="20.25" customHeight="1" x14ac:dyDescent="0.1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x14ac:dyDescent="0.15">
      <c r="A5" s="145"/>
      <c r="B5" s="146"/>
      <c r="C5" s="147"/>
      <c r="D5" s="146"/>
      <c r="E5" s="148"/>
      <c r="F5" s="148"/>
    </row>
    <row r="6" spans="1:13" ht="30" customHeight="1" x14ac:dyDescent="0.15">
      <c r="A6" s="389" t="s">
        <v>62</v>
      </c>
      <c r="B6" s="389"/>
      <c r="C6" s="389"/>
      <c r="D6" s="389"/>
      <c r="E6" s="389"/>
      <c r="F6" s="389"/>
      <c r="H6" s="389" t="s">
        <v>63</v>
      </c>
      <c r="I6" s="389"/>
      <c r="J6" s="389"/>
      <c r="K6" s="389"/>
      <c r="L6" s="389"/>
      <c r="M6" s="389"/>
    </row>
    <row r="7" spans="1:13" ht="15" customHeight="1" x14ac:dyDescent="0.15">
      <c r="A7" s="149" t="s">
        <v>64</v>
      </c>
      <c r="B7" s="150"/>
      <c r="C7" s="151"/>
      <c r="D7" s="150"/>
      <c r="E7" s="152"/>
      <c r="F7" s="153" t="s">
        <v>65</v>
      </c>
      <c r="H7" s="149" t="s">
        <v>64</v>
      </c>
      <c r="I7" s="150"/>
      <c r="J7" s="151"/>
      <c r="K7" s="150"/>
      <c r="L7" s="152"/>
      <c r="M7" s="153" t="s">
        <v>65</v>
      </c>
    </row>
    <row r="8" spans="1:13" ht="30" customHeight="1" x14ac:dyDescent="0.15">
      <c r="A8" s="154" t="e">
        <f>#REF!</f>
        <v>#REF!</v>
      </c>
      <c r="B8" s="155" t="e">
        <f>#REF!</f>
        <v>#REF!</v>
      </c>
      <c r="C8" s="156" t="e">
        <f>#REF!</f>
        <v>#REF!</v>
      </c>
      <c r="D8" s="155" t="e">
        <f>#REF!</f>
        <v>#REF!</v>
      </c>
      <c r="E8" s="157" t="e">
        <f>#REF!</f>
        <v>#REF!</v>
      </c>
      <c r="F8" s="158">
        <v>38838.75</v>
      </c>
      <c r="H8" s="154" t="e">
        <f>#REF!</f>
        <v>#REF!</v>
      </c>
      <c r="I8" s="155">
        <f>GRUPD!B6</f>
        <v>10</v>
      </c>
      <c r="J8" s="156" t="str">
        <f>GRUPD!C6</f>
        <v>-</v>
      </c>
      <c r="K8" s="155">
        <f>GRUPD!D6</f>
        <v>6</v>
      </c>
      <c r="L8" s="157" t="e">
        <f>#REF!</f>
        <v>#REF!</v>
      </c>
      <c r="M8" s="158">
        <v>38841.75</v>
      </c>
    </row>
    <row r="9" spans="1:13" ht="30" customHeight="1" x14ac:dyDescent="0.15">
      <c r="A9" s="154" t="e">
        <f>#REF!</f>
        <v>#REF!</v>
      </c>
      <c r="B9" s="155" t="e">
        <f>#REF!</f>
        <v>#REF!</v>
      </c>
      <c r="C9" s="156" t="e">
        <f>#REF!</f>
        <v>#REF!</v>
      </c>
      <c r="D9" s="155" t="e">
        <f>#REF!</f>
        <v>#REF!</v>
      </c>
      <c r="E9" s="157" t="e">
        <f>#REF!</f>
        <v>#REF!</v>
      </c>
      <c r="F9" s="158">
        <v>38838.791666666664</v>
      </c>
      <c r="H9" s="154" t="e">
        <f>#REF!</f>
        <v>#REF!</v>
      </c>
      <c r="I9" s="155">
        <f>GRUPD!B7</f>
        <v>6</v>
      </c>
      <c r="J9" s="156" t="str">
        <f>GRUPD!C7</f>
        <v>-</v>
      </c>
      <c r="K9" s="155">
        <f>GRUPD!D7</f>
        <v>4</v>
      </c>
      <c r="L9" s="157" t="e">
        <f>#REF!</f>
        <v>#REF!</v>
      </c>
      <c r="M9" s="158">
        <v>38841.791666666664</v>
      </c>
    </row>
    <row r="10" spans="1:13" ht="7.5" customHeight="1" x14ac:dyDescent="0.15">
      <c r="A10" s="154"/>
      <c r="B10" s="155" t="e">
        <f>#REF!</f>
        <v>#REF!</v>
      </c>
      <c r="C10" s="156"/>
      <c r="D10" s="155"/>
      <c r="E10" s="157"/>
      <c r="F10" s="159"/>
      <c r="H10" s="154"/>
      <c r="I10" s="155"/>
      <c r="J10" s="156"/>
      <c r="K10" s="155"/>
      <c r="L10" s="157"/>
      <c r="M10" s="159"/>
    </row>
    <row r="11" spans="1:13" ht="15" customHeight="1" x14ac:dyDescent="0.15">
      <c r="A11" s="149" t="s">
        <v>66</v>
      </c>
      <c r="B11" s="160"/>
      <c r="C11" s="151"/>
      <c r="D11" s="150"/>
      <c r="E11" s="152"/>
      <c r="F11" s="153" t="s">
        <v>65</v>
      </c>
      <c r="H11" s="149" t="s">
        <v>66</v>
      </c>
      <c r="I11" s="150"/>
      <c r="J11" s="151"/>
      <c r="K11" s="150"/>
      <c r="L11" s="152"/>
      <c r="M11" s="153" t="s">
        <v>65</v>
      </c>
    </row>
    <row r="12" spans="1:13" ht="30" customHeight="1" x14ac:dyDescent="0.15">
      <c r="A12" s="154" t="e">
        <f>A8</f>
        <v>#REF!</v>
      </c>
      <c r="B12" s="155" t="e">
        <f>#REF!</f>
        <v>#REF!</v>
      </c>
      <c r="C12" s="156" t="e">
        <f>#REF!</f>
        <v>#REF!</v>
      </c>
      <c r="D12" s="155" t="e">
        <f>#REF!</f>
        <v>#REF!</v>
      </c>
      <c r="E12" s="157" t="e">
        <f>#REF!</f>
        <v>#REF!</v>
      </c>
      <c r="F12" s="158">
        <v>38845.75</v>
      </c>
      <c r="H12" s="154" t="e">
        <f>H8</f>
        <v>#REF!</v>
      </c>
      <c r="I12" s="155">
        <f>GRUPD!B17</f>
        <v>9</v>
      </c>
      <c r="J12" s="156" t="str">
        <f>GRUPD!C17</f>
        <v>-</v>
      </c>
      <c r="K12" s="155">
        <f>GRUPD!D17</f>
        <v>5</v>
      </c>
      <c r="L12" s="157" t="e">
        <f>#REF!</f>
        <v>#REF!</v>
      </c>
      <c r="M12" s="158">
        <v>38848.75</v>
      </c>
    </row>
    <row r="13" spans="1:13" ht="30" customHeight="1" x14ac:dyDescent="0.15">
      <c r="A13" s="154" t="e">
        <f>E8</f>
        <v>#REF!</v>
      </c>
      <c r="B13" s="155" t="e">
        <f>#REF!</f>
        <v>#REF!</v>
      </c>
      <c r="C13" s="156" t="e">
        <f>#REF!</f>
        <v>#REF!</v>
      </c>
      <c r="D13" s="155" t="e">
        <f>#REF!</f>
        <v>#REF!</v>
      </c>
      <c r="E13" s="157" t="e">
        <f>E9</f>
        <v>#REF!</v>
      </c>
      <c r="F13" s="158">
        <v>38845.791666666664</v>
      </c>
      <c r="H13" s="154" t="e">
        <f>L8</f>
        <v>#REF!</v>
      </c>
      <c r="I13" s="155">
        <f>GRUPD!B18</f>
        <v>5</v>
      </c>
      <c r="J13" s="156" t="str">
        <f>GRUPD!C18</f>
        <v>-</v>
      </c>
      <c r="K13" s="155">
        <f>GRUPD!D18</f>
        <v>8</v>
      </c>
      <c r="L13" s="157" t="e">
        <f>L9</f>
        <v>#REF!</v>
      </c>
      <c r="M13" s="158">
        <v>38848.791666666664</v>
      </c>
    </row>
    <row r="14" spans="1:13" ht="6.75" customHeight="1" x14ac:dyDescent="0.15">
      <c r="A14" s="154"/>
      <c r="B14" s="155"/>
      <c r="C14" s="156"/>
      <c r="D14" s="155"/>
      <c r="E14" s="157"/>
      <c r="F14" s="159"/>
      <c r="H14" s="154"/>
      <c r="I14" s="155"/>
      <c r="J14" s="156"/>
      <c r="K14" s="155"/>
      <c r="L14" s="157"/>
      <c r="M14" s="159"/>
    </row>
    <row r="15" spans="1:13" ht="15" customHeight="1" x14ac:dyDescent="0.15">
      <c r="A15" s="149" t="s">
        <v>67</v>
      </c>
      <c r="B15" s="150"/>
      <c r="C15" s="151"/>
      <c r="D15" s="150"/>
      <c r="E15" s="152"/>
      <c r="F15" s="153" t="s">
        <v>65</v>
      </c>
      <c r="H15" s="149" t="s">
        <v>67</v>
      </c>
      <c r="I15" s="150"/>
      <c r="J15" s="151"/>
      <c r="K15" s="150"/>
      <c r="L15" s="152"/>
      <c r="M15" s="153" t="s">
        <v>65</v>
      </c>
    </row>
    <row r="16" spans="1:13" ht="30" customHeight="1" x14ac:dyDescent="0.15">
      <c r="A16" s="154" t="e">
        <f>A12</f>
        <v>#REF!</v>
      </c>
      <c r="B16" s="155" t="e">
        <f>#REF!</f>
        <v>#REF!</v>
      </c>
      <c r="C16" s="156" t="e">
        <f>#REF!</f>
        <v>#REF!</v>
      </c>
      <c r="D16" s="155" t="e">
        <f>#REF!</f>
        <v>#REF!</v>
      </c>
      <c r="E16" s="157" t="e">
        <f>E13</f>
        <v>#REF!</v>
      </c>
      <c r="F16" s="158">
        <v>38852.75</v>
      </c>
      <c r="H16" s="154" t="e">
        <f>H12</f>
        <v>#REF!</v>
      </c>
      <c r="I16" s="155">
        <f>GRUPD!B28</f>
        <v>0</v>
      </c>
      <c r="J16" s="156" t="str">
        <f>GRUPD!C28</f>
        <v>-</v>
      </c>
      <c r="K16" s="155">
        <f>GRUPD!D28</f>
        <v>0</v>
      </c>
      <c r="L16" s="157" t="e">
        <f>L13</f>
        <v>#REF!</v>
      </c>
      <c r="M16" s="158">
        <v>38855.75</v>
      </c>
    </row>
    <row r="17" spans="1:13" ht="30" customHeight="1" x14ac:dyDescent="0.15">
      <c r="A17" s="154" t="e">
        <f>A13</f>
        <v>#REF!</v>
      </c>
      <c r="B17" s="155" t="e">
        <f>#REF!</f>
        <v>#REF!</v>
      </c>
      <c r="C17" s="156" t="e">
        <f>#REF!</f>
        <v>#REF!</v>
      </c>
      <c r="D17" s="155" t="e">
        <f>#REF!</f>
        <v>#REF!</v>
      </c>
      <c r="E17" s="157" t="e">
        <f>#REF!</f>
        <v>#REF!</v>
      </c>
      <c r="F17" s="158">
        <v>38852.791666666664</v>
      </c>
      <c r="H17" s="154" t="e">
        <f>H13</f>
        <v>#REF!</v>
      </c>
      <c r="I17" s="155">
        <f>GRUPD!B29</f>
        <v>0</v>
      </c>
      <c r="J17" s="156" t="str">
        <f>GRUPD!C29</f>
        <v>-</v>
      </c>
      <c r="K17" s="155">
        <f>GRUPD!D29</f>
        <v>0</v>
      </c>
      <c r="L17" s="157" t="e">
        <f>#REF!</f>
        <v>#REF!</v>
      </c>
      <c r="M17" s="158">
        <v>38855.791666666664</v>
      </c>
    </row>
    <row r="18" spans="1:13" ht="5.25" customHeight="1" x14ac:dyDescent="0.15">
      <c r="A18" s="161"/>
      <c r="B18" s="162"/>
      <c r="C18" s="163"/>
      <c r="D18" s="162"/>
      <c r="E18" s="164"/>
      <c r="F18" s="165"/>
      <c r="H18" s="161"/>
      <c r="I18" s="162"/>
      <c r="J18" s="163"/>
      <c r="K18" s="162"/>
      <c r="L18" s="164"/>
      <c r="M18" s="165"/>
    </row>
    <row r="19" spans="1:13" ht="12.75" customHeight="1" x14ac:dyDescent="0.15">
      <c r="A19" s="166"/>
      <c r="B19" s="155"/>
      <c r="C19" s="156"/>
      <c r="D19" s="155"/>
      <c r="E19" s="157"/>
    </row>
    <row r="20" spans="1:13" ht="30" customHeight="1" x14ac:dyDescent="0.15">
      <c r="A20" s="389" t="s">
        <v>68</v>
      </c>
      <c r="B20" s="389"/>
      <c r="C20" s="389"/>
      <c r="D20" s="389"/>
      <c r="E20" s="389"/>
      <c r="F20" s="389"/>
      <c r="H20" s="389" t="s">
        <v>69</v>
      </c>
      <c r="I20" s="389"/>
      <c r="J20" s="389"/>
      <c r="K20" s="389"/>
      <c r="L20" s="389"/>
      <c r="M20" s="389"/>
    </row>
    <row r="21" spans="1:13" ht="15" customHeight="1" x14ac:dyDescent="0.15">
      <c r="A21" s="149" t="s">
        <v>64</v>
      </c>
      <c r="B21" s="150"/>
      <c r="C21" s="151"/>
      <c r="D21" s="150"/>
      <c r="E21" s="152"/>
      <c r="F21" s="153" t="s">
        <v>65</v>
      </c>
      <c r="H21" s="149" t="s">
        <v>64</v>
      </c>
      <c r="I21" s="150"/>
      <c r="J21" s="151"/>
      <c r="K21" s="150"/>
      <c r="L21" s="152"/>
      <c r="M21" s="153" t="s">
        <v>65</v>
      </c>
    </row>
    <row r="22" spans="1:13" ht="30" customHeight="1" x14ac:dyDescent="0.15">
      <c r="A22" s="154" t="e">
        <f>#REF!</f>
        <v>#REF!</v>
      </c>
      <c r="B22" s="155">
        <f>GRUPB!B5</f>
        <v>5</v>
      </c>
      <c r="C22" s="167" t="str">
        <f>GRUPB!C5</f>
        <v>-</v>
      </c>
      <c r="D22" s="155">
        <f>GRUPB!D5</f>
        <v>3</v>
      </c>
      <c r="E22" s="157" t="e">
        <f>#REF!</f>
        <v>#REF!</v>
      </c>
      <c r="F22" s="158">
        <v>38839.75</v>
      </c>
      <c r="H22" s="154" t="e">
        <f>#REF!</f>
        <v>#REF!</v>
      </c>
      <c r="I22" s="155">
        <f>GRUPE!B5</f>
        <v>1</v>
      </c>
      <c r="J22" s="156" t="str">
        <f>GRUPE!C5</f>
        <v>-</v>
      </c>
      <c r="K22" s="155">
        <f>GRUPE!D5</f>
        <v>7</v>
      </c>
      <c r="L22" s="157" t="e">
        <f>#REF!</f>
        <v>#REF!</v>
      </c>
      <c r="M22" s="158">
        <v>38842.75</v>
      </c>
    </row>
    <row r="23" spans="1:13" ht="30" customHeight="1" x14ac:dyDescent="0.15">
      <c r="A23" s="154" t="e">
        <f>#REF!</f>
        <v>#REF!</v>
      </c>
      <c r="B23" s="155">
        <f>GRUPB!B6</f>
        <v>2</v>
      </c>
      <c r="C23" s="167" t="str">
        <f>GRUPB!C6</f>
        <v>-</v>
      </c>
      <c r="D23" s="155">
        <f>GRUPB!D6</f>
        <v>12</v>
      </c>
      <c r="E23" s="157" t="e">
        <f>#REF!</f>
        <v>#REF!</v>
      </c>
      <c r="F23" s="158">
        <v>38839.791666666664</v>
      </c>
      <c r="H23" s="154" t="e">
        <f>#REF!</f>
        <v>#REF!</v>
      </c>
      <c r="I23" s="155">
        <f>GRUPE!B6</f>
        <v>7</v>
      </c>
      <c r="J23" s="156" t="str">
        <f>GRUPE!C6</f>
        <v>-</v>
      </c>
      <c r="K23" s="155">
        <f>GRUPE!D6</f>
        <v>2</v>
      </c>
      <c r="L23" s="157" t="e">
        <f>#REF!</f>
        <v>#REF!</v>
      </c>
      <c r="M23" s="158">
        <v>38842.791666666664</v>
      </c>
    </row>
    <row r="24" spans="1:13" ht="5.25" customHeight="1" x14ac:dyDescent="0.15">
      <c r="A24" s="154"/>
      <c r="B24" s="155"/>
      <c r="C24" s="156"/>
      <c r="D24" s="155"/>
      <c r="E24" s="157"/>
      <c r="F24" s="159"/>
      <c r="H24" s="154"/>
      <c r="I24" s="155"/>
      <c r="J24" s="156"/>
      <c r="K24" s="155"/>
      <c r="L24" s="157"/>
      <c r="M24" s="159"/>
    </row>
    <row r="25" spans="1:13" ht="15" customHeight="1" x14ac:dyDescent="0.15">
      <c r="A25" s="149" t="s">
        <v>66</v>
      </c>
      <c r="B25" s="150"/>
      <c r="C25" s="151"/>
      <c r="D25" s="150"/>
      <c r="E25" s="152"/>
      <c r="F25" s="153" t="s">
        <v>65</v>
      </c>
      <c r="H25" s="149" t="s">
        <v>66</v>
      </c>
      <c r="I25" s="150"/>
      <c r="J25" s="151"/>
      <c r="K25" s="150"/>
      <c r="L25" s="152"/>
      <c r="M25" s="153" t="s">
        <v>65</v>
      </c>
    </row>
    <row r="26" spans="1:13" ht="30" customHeight="1" x14ac:dyDescent="0.15">
      <c r="A26" s="154" t="e">
        <f>A22</f>
        <v>#REF!</v>
      </c>
      <c r="B26" s="155">
        <f>GRUPB!B16</f>
        <v>5</v>
      </c>
      <c r="C26" s="167" t="str">
        <f>GRUPB!C16</f>
        <v>-</v>
      </c>
      <c r="D26" s="155">
        <f>GRUPB!D16</f>
        <v>4</v>
      </c>
      <c r="E26" s="157" t="e">
        <f>#REF!</f>
        <v>#REF!</v>
      </c>
      <c r="F26" s="158">
        <v>38846.75</v>
      </c>
      <c r="H26" s="154" t="e">
        <f>H22</f>
        <v>#REF!</v>
      </c>
      <c r="I26" s="155">
        <f>GRUPE!B16</f>
        <v>5</v>
      </c>
      <c r="J26" s="156" t="str">
        <f>GRUPE!C16</f>
        <v>-</v>
      </c>
      <c r="K26" s="155">
        <f>GRUPE!D16</f>
        <v>2</v>
      </c>
      <c r="L26" s="157" t="e">
        <f>#REF!</f>
        <v>#REF!</v>
      </c>
      <c r="M26" s="158">
        <v>38849.75</v>
      </c>
    </row>
    <row r="27" spans="1:13" ht="30" customHeight="1" x14ac:dyDescent="0.15">
      <c r="A27" s="154" t="e">
        <f>E22</f>
        <v>#REF!</v>
      </c>
      <c r="B27" s="155">
        <f>GRUPB!B17</f>
        <v>6</v>
      </c>
      <c r="C27" s="167" t="str">
        <f>GRUPB!C17</f>
        <v>-</v>
      </c>
      <c r="D27" s="155">
        <f>GRUPB!D17</f>
        <v>4</v>
      </c>
      <c r="E27" s="157" t="e">
        <f>E23</f>
        <v>#REF!</v>
      </c>
      <c r="F27" s="158">
        <v>38846.791666666664</v>
      </c>
      <c r="H27" s="154" t="e">
        <f>L22</f>
        <v>#REF!</v>
      </c>
      <c r="I27" s="155">
        <f>GRUPE!B17</f>
        <v>6</v>
      </c>
      <c r="J27" s="156" t="str">
        <f>GRUPE!C17</f>
        <v>-</v>
      </c>
      <c r="K27" s="155">
        <f>GRUPE!D17</f>
        <v>1</v>
      </c>
      <c r="L27" s="157" t="e">
        <f>L23</f>
        <v>#REF!</v>
      </c>
      <c r="M27" s="158">
        <v>38849.791666666664</v>
      </c>
    </row>
    <row r="28" spans="1:13" ht="6" customHeight="1" x14ac:dyDescent="0.15">
      <c r="A28" s="154"/>
      <c r="B28" s="155"/>
      <c r="C28" s="156"/>
      <c r="D28" s="155"/>
      <c r="E28" s="157"/>
      <c r="F28" s="159"/>
      <c r="H28" s="154"/>
      <c r="I28" s="155"/>
      <c r="J28" s="156"/>
      <c r="K28" s="155"/>
      <c r="L28" s="157"/>
      <c r="M28" s="159"/>
    </row>
    <row r="29" spans="1:13" ht="15" customHeight="1" x14ac:dyDescent="0.15">
      <c r="A29" s="149" t="s">
        <v>67</v>
      </c>
      <c r="B29" s="150"/>
      <c r="C29" s="151"/>
      <c r="D29" s="150"/>
      <c r="E29" s="152"/>
      <c r="F29" s="153" t="s">
        <v>65</v>
      </c>
      <c r="H29" s="149" t="s">
        <v>67</v>
      </c>
      <c r="I29" s="150"/>
      <c r="J29" s="151"/>
      <c r="K29" s="150"/>
      <c r="L29" s="152"/>
      <c r="M29" s="153" t="s">
        <v>65</v>
      </c>
    </row>
    <row r="30" spans="1:13" ht="30" customHeight="1" x14ac:dyDescent="0.15">
      <c r="A30" s="154" t="e">
        <f>A26</f>
        <v>#REF!</v>
      </c>
      <c r="B30" s="155">
        <f>GRUPB!B27</f>
        <v>1</v>
      </c>
      <c r="C30" s="167" t="str">
        <f>GRUPB!C27</f>
        <v>-</v>
      </c>
      <c r="D30" s="155">
        <f>GRUPB!D27</f>
        <v>3</v>
      </c>
      <c r="E30" s="157" t="e">
        <f>E27</f>
        <v>#REF!</v>
      </c>
      <c r="F30" s="158">
        <v>38853.75</v>
      </c>
      <c r="H30" s="154" t="e">
        <f>H26</f>
        <v>#REF!</v>
      </c>
      <c r="I30" s="155">
        <f>GRUPE!B27</f>
        <v>21</v>
      </c>
      <c r="J30" s="156" t="str">
        <f>GRUPE!C27</f>
        <v>-</v>
      </c>
      <c r="K30" s="155">
        <f>GRUPE!D27</f>
        <v>4</v>
      </c>
      <c r="L30" s="157" t="e">
        <f>L27</f>
        <v>#REF!</v>
      </c>
      <c r="M30" s="158">
        <v>38856.75</v>
      </c>
    </row>
    <row r="31" spans="1:13" ht="30" customHeight="1" x14ac:dyDescent="0.15">
      <c r="A31" s="154" t="e">
        <f>A27</f>
        <v>#REF!</v>
      </c>
      <c r="B31" s="155">
        <f>GRUPB!B28</f>
        <v>11</v>
      </c>
      <c r="C31" s="167" t="str">
        <f>GRUPB!C28</f>
        <v>-</v>
      </c>
      <c r="D31" s="155">
        <f>GRUPB!D28</f>
        <v>3</v>
      </c>
      <c r="E31" s="157" t="e">
        <f>#REF!</f>
        <v>#REF!</v>
      </c>
      <c r="F31" s="158">
        <v>38853.791666666664</v>
      </c>
      <c r="H31" s="154" t="e">
        <f>H27</f>
        <v>#REF!</v>
      </c>
      <c r="I31" s="155">
        <f>GRUPE!B28</f>
        <v>6</v>
      </c>
      <c r="J31" s="156" t="str">
        <f>GRUPE!C28</f>
        <v>-</v>
      </c>
      <c r="K31" s="155">
        <f>GRUPE!D28</f>
        <v>1</v>
      </c>
      <c r="L31" s="157" t="e">
        <f>#REF!</f>
        <v>#REF!</v>
      </c>
      <c r="M31" s="158">
        <v>38856.791666666664</v>
      </c>
    </row>
    <row r="32" spans="1:13" ht="6.75" customHeight="1" x14ac:dyDescent="0.15">
      <c r="A32" s="161"/>
      <c r="B32" s="162"/>
      <c r="C32" s="163"/>
      <c r="D32" s="162"/>
      <c r="E32" s="164"/>
      <c r="F32" s="165"/>
      <c r="H32" s="161"/>
      <c r="I32" s="162"/>
      <c r="J32" s="163"/>
      <c r="K32" s="162"/>
      <c r="L32" s="164"/>
      <c r="M32" s="165"/>
    </row>
    <row r="33" spans="1:13" ht="5.25" customHeight="1" x14ac:dyDescent="0.15"/>
    <row r="34" spans="1:13" ht="30" customHeight="1" x14ac:dyDescent="0.15">
      <c r="A34" s="389" t="s">
        <v>70</v>
      </c>
      <c r="B34" s="389"/>
      <c r="C34" s="389"/>
      <c r="D34" s="389"/>
      <c r="E34" s="389"/>
      <c r="F34" s="389"/>
      <c r="H34" s="389" t="s">
        <v>71</v>
      </c>
      <c r="I34" s="389"/>
      <c r="J34" s="389"/>
      <c r="K34" s="389"/>
      <c r="L34" s="389"/>
      <c r="M34" s="389"/>
    </row>
    <row r="35" spans="1:13" ht="15" customHeight="1" x14ac:dyDescent="0.15">
      <c r="A35" s="149" t="s">
        <v>64</v>
      </c>
      <c r="B35" s="150"/>
      <c r="C35" s="151"/>
      <c r="D35" s="150"/>
      <c r="E35" s="152"/>
      <c r="F35" s="153" t="s">
        <v>65</v>
      </c>
      <c r="H35" s="149" t="s">
        <v>64</v>
      </c>
      <c r="I35" s="150"/>
      <c r="J35" s="151"/>
      <c r="K35" s="150"/>
      <c r="L35" s="152"/>
      <c r="M35" s="153" t="s">
        <v>65</v>
      </c>
    </row>
    <row r="36" spans="1:13" ht="30" customHeight="1" x14ac:dyDescent="0.15">
      <c r="A36" s="154" t="e">
        <f>#REF!</f>
        <v>#REF!</v>
      </c>
      <c r="B36" s="155">
        <f>GRUPC!B5</f>
        <v>4</v>
      </c>
      <c r="C36" s="167" t="str">
        <f>GRUPC!C5</f>
        <v>-</v>
      </c>
      <c r="D36" s="155">
        <f>GRUPC!D5</f>
        <v>10</v>
      </c>
      <c r="E36" s="157" t="e">
        <f>#REF!</f>
        <v>#REF!</v>
      </c>
      <c r="F36" s="158">
        <v>38838.916666666664</v>
      </c>
      <c r="H36" s="154" t="e">
        <f>#REF!</f>
        <v>#REF!</v>
      </c>
      <c r="I36" s="155">
        <f>GRUPF!B5</f>
        <v>4</v>
      </c>
      <c r="J36" s="156" t="str">
        <f>GRUPF!C5</f>
        <v>-</v>
      </c>
      <c r="K36" s="155">
        <f>GRUPF!D5</f>
        <v>5</v>
      </c>
      <c r="L36" s="157" t="e">
        <f>#REF!</f>
        <v>#REF!</v>
      </c>
      <c r="M36" s="158">
        <v>38842.833333333336</v>
      </c>
    </row>
    <row r="37" spans="1:13" ht="30" customHeight="1" x14ac:dyDescent="0.15">
      <c r="A37" s="154" t="e">
        <f>#REF!</f>
        <v>#REF!</v>
      </c>
      <c r="B37" s="155">
        <f>GRUPC!B6</f>
        <v>6</v>
      </c>
      <c r="C37" s="167" t="str">
        <f>GRUPC!C6</f>
        <v>-</v>
      </c>
      <c r="D37" s="155">
        <f>GRUPC!D6</f>
        <v>12</v>
      </c>
      <c r="E37" s="157" t="e">
        <f>#REF!</f>
        <v>#REF!</v>
      </c>
      <c r="F37" s="158">
        <v>38840.916666666664</v>
      </c>
      <c r="H37" s="154" t="e">
        <f>#REF!</f>
        <v>#REF!</v>
      </c>
      <c r="I37" s="155">
        <f>GRUPF!B6</f>
        <v>3</v>
      </c>
      <c r="J37" s="156" t="str">
        <f>GRUPF!C6</f>
        <v>-</v>
      </c>
      <c r="K37" s="155">
        <f>GRUPF!D6</f>
        <v>10</v>
      </c>
      <c r="L37" s="157" t="e">
        <f>#REF!</f>
        <v>#REF!</v>
      </c>
      <c r="M37" s="158">
        <v>38842.916666666664</v>
      </c>
    </row>
    <row r="38" spans="1:13" ht="6" customHeight="1" x14ac:dyDescent="0.15">
      <c r="A38" s="154"/>
      <c r="B38" s="155"/>
      <c r="C38" s="156"/>
      <c r="D38" s="155"/>
      <c r="E38" s="157"/>
      <c r="F38" s="159"/>
      <c r="H38" s="154"/>
      <c r="I38" s="155"/>
      <c r="J38" s="156"/>
      <c r="K38" s="155"/>
      <c r="L38" s="157"/>
      <c r="M38" s="159"/>
    </row>
    <row r="39" spans="1:13" ht="15" customHeight="1" x14ac:dyDescent="0.15">
      <c r="A39" s="149" t="s">
        <v>66</v>
      </c>
      <c r="B39" s="150"/>
      <c r="C39" s="151"/>
      <c r="D39" s="150"/>
      <c r="E39" s="152"/>
      <c r="F39" s="153" t="s">
        <v>65</v>
      </c>
      <c r="H39" s="149" t="s">
        <v>66</v>
      </c>
      <c r="I39" s="150"/>
      <c r="J39" s="151"/>
      <c r="K39" s="150"/>
      <c r="L39" s="152"/>
      <c r="M39" s="153" t="s">
        <v>65</v>
      </c>
    </row>
    <row r="40" spans="1:13" ht="30" customHeight="1" x14ac:dyDescent="0.15">
      <c r="A40" s="154" t="e">
        <f>A36</f>
        <v>#REF!</v>
      </c>
      <c r="B40" s="155">
        <v>0</v>
      </c>
      <c r="C40" s="167" t="str">
        <f>GRUPC!C16</f>
        <v>-</v>
      </c>
      <c r="D40" s="155">
        <f>GRUPC!D16</f>
        <v>3</v>
      </c>
      <c r="E40" s="157" t="e">
        <f>#REF!</f>
        <v>#REF!</v>
      </c>
      <c r="F40" s="158">
        <v>38845.916666666664</v>
      </c>
      <c r="H40" s="154" t="e">
        <f>H36</f>
        <v>#REF!</v>
      </c>
      <c r="I40" s="155">
        <f>GRUPF!B16</f>
        <v>1</v>
      </c>
      <c r="J40" s="156" t="str">
        <f>GRUPF!C16</f>
        <v>-</v>
      </c>
      <c r="K40" s="155">
        <f>GRUPF!D16</f>
        <v>12</v>
      </c>
      <c r="L40" s="157" t="e">
        <f>#REF!</f>
        <v>#REF!</v>
      </c>
      <c r="M40" s="158">
        <v>38849.833333333336</v>
      </c>
    </row>
    <row r="41" spans="1:13" ht="30" customHeight="1" x14ac:dyDescent="0.15">
      <c r="A41" s="154" t="e">
        <f>E36</f>
        <v>#REF!</v>
      </c>
      <c r="B41" s="155">
        <f>GRUPC!B17</f>
        <v>5</v>
      </c>
      <c r="C41" s="167" t="str">
        <f>GRUPC!C17</f>
        <v>-</v>
      </c>
      <c r="D41" s="155">
        <f>GRUPC!D17</f>
        <v>8</v>
      </c>
      <c r="E41" s="157" t="e">
        <f>E37</f>
        <v>#REF!</v>
      </c>
      <c r="F41" s="158">
        <v>38847.916666666664</v>
      </c>
      <c r="H41" s="154" t="e">
        <f>L36</f>
        <v>#REF!</v>
      </c>
      <c r="I41" s="155">
        <f>GRUPF!B17</f>
        <v>4</v>
      </c>
      <c r="J41" s="156" t="str">
        <f>GRUPF!C17</f>
        <v>-</v>
      </c>
      <c r="K41" s="155">
        <f>GRUPF!D17</f>
        <v>10</v>
      </c>
      <c r="L41" s="157" t="e">
        <f>L37</f>
        <v>#REF!</v>
      </c>
      <c r="M41" s="158">
        <v>38849.916666666664</v>
      </c>
    </row>
    <row r="42" spans="1:13" ht="7.5" customHeight="1" x14ac:dyDescent="0.15">
      <c r="A42" s="154"/>
      <c r="B42" s="155"/>
      <c r="C42" s="156"/>
      <c r="D42" s="155"/>
      <c r="E42" s="157"/>
      <c r="F42" s="159"/>
      <c r="H42" s="154"/>
      <c r="I42" s="155"/>
      <c r="J42" s="156"/>
      <c r="K42" s="155"/>
      <c r="L42" s="157"/>
      <c r="M42" s="159"/>
    </row>
    <row r="43" spans="1:13" ht="15" customHeight="1" x14ac:dyDescent="0.15">
      <c r="A43" s="149" t="s">
        <v>67</v>
      </c>
      <c r="B43" s="150"/>
      <c r="C43" s="151"/>
      <c r="D43" s="150"/>
      <c r="E43" s="152"/>
      <c r="F43" s="153" t="s">
        <v>65</v>
      </c>
      <c r="H43" s="149" t="s">
        <v>67</v>
      </c>
      <c r="I43" s="150"/>
      <c r="J43" s="151"/>
      <c r="K43" s="150"/>
      <c r="L43" s="152"/>
      <c r="M43" s="153" t="s">
        <v>65</v>
      </c>
    </row>
    <row r="44" spans="1:13" ht="30" customHeight="1" x14ac:dyDescent="0.15">
      <c r="A44" s="154" t="e">
        <f>A40</f>
        <v>#REF!</v>
      </c>
      <c r="B44" s="155">
        <f>GRUPC!B27</f>
        <v>0</v>
      </c>
      <c r="C44" s="167" t="str">
        <f>GRUPC!C27</f>
        <v>-</v>
      </c>
      <c r="D44" s="155">
        <f>GRUPC!D27</f>
        <v>3</v>
      </c>
      <c r="E44" s="157" t="e">
        <f>E41</f>
        <v>#REF!</v>
      </c>
      <c r="F44" s="158">
        <v>38852.916666666664</v>
      </c>
      <c r="H44" s="154" t="e">
        <f>H40</f>
        <v>#REF!</v>
      </c>
      <c r="I44" s="155">
        <f>GRUPF!B27</f>
        <v>2</v>
      </c>
      <c r="J44" s="156" t="str">
        <f>GRUPF!C27</f>
        <v>-</v>
      </c>
      <c r="K44" s="155">
        <f>GRUPF!D27</f>
        <v>15</v>
      </c>
      <c r="L44" s="157" t="e">
        <f>L41</f>
        <v>#REF!</v>
      </c>
      <c r="M44" s="158">
        <v>38856.833333333336</v>
      </c>
    </row>
    <row r="45" spans="1:13" ht="30" customHeight="1" x14ac:dyDescent="0.15">
      <c r="A45" s="154" t="e">
        <f>A41</f>
        <v>#REF!</v>
      </c>
      <c r="B45" s="155">
        <f>GRUPC!B28</f>
        <v>15</v>
      </c>
      <c r="C45" s="167" t="str">
        <f>GRUPC!C28</f>
        <v>-</v>
      </c>
      <c r="D45" s="155">
        <f>GRUPC!D28</f>
        <v>6</v>
      </c>
      <c r="E45" s="157" t="e">
        <f>#REF!</f>
        <v>#REF!</v>
      </c>
      <c r="F45" s="158">
        <v>38854.916666666664</v>
      </c>
      <c r="H45" s="154" t="e">
        <f>H41</f>
        <v>#REF!</v>
      </c>
      <c r="I45" s="155">
        <f>GRUPF!B28</f>
        <v>2</v>
      </c>
      <c r="J45" s="156" t="str">
        <f>GRUPF!C28</f>
        <v>-</v>
      </c>
      <c r="K45" s="155">
        <f>GRUPF!D28</f>
        <v>8</v>
      </c>
      <c r="L45" s="157" t="e">
        <f>#REF!</f>
        <v>#REF!</v>
      </c>
      <c r="M45" s="158">
        <v>38856.916666666664</v>
      </c>
    </row>
    <row r="46" spans="1:13" ht="5.25" customHeight="1" x14ac:dyDescent="0.15">
      <c r="A46" s="154"/>
      <c r="B46" s="155"/>
      <c r="C46" s="156"/>
      <c r="D46" s="155"/>
      <c r="E46" s="157"/>
      <c r="F46" s="159"/>
      <c r="H46" s="154"/>
      <c r="I46" s="155"/>
      <c r="J46" s="156"/>
      <c r="K46" s="155"/>
      <c r="L46" s="157"/>
      <c r="M46" s="159"/>
    </row>
    <row r="47" spans="1:13" ht="30" customHeight="1" x14ac:dyDescent="0.15">
      <c r="A47" s="390" t="s">
        <v>51</v>
      </c>
      <c r="B47" s="168"/>
      <c r="C47" s="169"/>
      <c r="D47" s="168"/>
      <c r="E47" s="170"/>
      <c r="F47" s="170"/>
      <c r="G47" s="170"/>
      <c r="H47" s="170"/>
      <c r="I47" s="171"/>
      <c r="J47" s="170"/>
      <c r="K47" s="171"/>
      <c r="L47" s="170"/>
      <c r="M47" s="172"/>
    </row>
    <row r="48" spans="1:13" ht="30" customHeight="1" x14ac:dyDescent="0.15">
      <c r="A48" s="390"/>
      <c r="M48" s="159"/>
    </row>
    <row r="49" spans="1:13" ht="30" customHeight="1" x14ac:dyDescent="0.2">
      <c r="A49" s="390"/>
      <c r="E49" s="391" t="s">
        <v>72</v>
      </c>
      <c r="F49" s="391"/>
      <c r="H49" s="173" t="s">
        <v>52</v>
      </c>
      <c r="M49" s="159"/>
    </row>
    <row r="50" spans="1:13" ht="30" customHeight="1" x14ac:dyDescent="0.15">
      <c r="A50" s="390"/>
      <c r="M50" s="159"/>
    </row>
    <row r="51" spans="1:13" ht="30" customHeight="1" x14ac:dyDescent="0.15">
      <c r="A51" s="390"/>
      <c r="M51" s="159"/>
    </row>
    <row r="52" spans="1:13" ht="30" customHeight="1" x14ac:dyDescent="0.15">
      <c r="A52" s="390"/>
      <c r="B52" s="174"/>
      <c r="C52" s="175"/>
      <c r="D52" s="174"/>
      <c r="E52" s="176"/>
      <c r="F52" s="176"/>
      <c r="G52" s="176"/>
      <c r="H52" s="176"/>
      <c r="I52" s="177"/>
      <c r="J52" s="176"/>
      <c r="K52" s="177"/>
      <c r="L52" s="176"/>
      <c r="M52" s="165"/>
    </row>
    <row r="53" spans="1:13" ht="30" customHeight="1" x14ac:dyDescent="0.15">
      <c r="A53" s="141" t="s">
        <v>73</v>
      </c>
      <c r="B53" s="142" t="s">
        <v>74</v>
      </c>
      <c r="D53" s="392" t="s">
        <v>75</v>
      </c>
      <c r="E53" s="392"/>
      <c r="F53" s="392"/>
    </row>
    <row r="54" spans="1:13" ht="30" customHeight="1" x14ac:dyDescent="0.15">
      <c r="B54" s="142" t="s">
        <v>76</v>
      </c>
      <c r="D54" s="393" t="s">
        <v>77</v>
      </c>
      <c r="E54" s="393"/>
      <c r="F54" s="393"/>
    </row>
    <row r="55" spans="1:13" ht="30" customHeight="1" x14ac:dyDescent="0.15">
      <c r="B55" s="142" t="s">
        <v>78</v>
      </c>
      <c r="D55" s="393" t="s">
        <v>79</v>
      </c>
      <c r="E55" s="393"/>
      <c r="F55" s="393"/>
      <c r="K55" s="387" t="s">
        <v>80</v>
      </c>
      <c r="L55" s="387"/>
      <c r="M55" s="387"/>
    </row>
    <row r="56" spans="1:13" ht="30" customHeight="1" x14ac:dyDescent="0.15"/>
  </sheetData>
  <sheetProtection selectLockedCells="1" selectUnlockedCells="1"/>
  <mergeCells count="13">
    <mergeCell ref="K55:M55"/>
    <mergeCell ref="A1:M4"/>
    <mergeCell ref="A6:F6"/>
    <mergeCell ref="H6:M6"/>
    <mergeCell ref="A20:F20"/>
    <mergeCell ref="H20:M20"/>
    <mergeCell ref="A34:F34"/>
    <mergeCell ref="H34:M34"/>
    <mergeCell ref="A47:A52"/>
    <mergeCell ref="E49:F49"/>
    <mergeCell ref="D53:F53"/>
    <mergeCell ref="D54:F54"/>
    <mergeCell ref="D55:F55"/>
  </mergeCells>
  <conditionalFormatting sqref="B1:D1 I1 K1 D5:D15 B5:C39 I5:I65536 K5:K65536 A8:A9 E8:E9 H8:H9 L8:L9 A12:A13 E12:E13 H12:H13 L12:L13 A16:C17 E16:E17 H16:I17 L16:L17 D17:D65536 A22:A23 E22:E23 H22:H23 L22:L23 A26:A27 E26:E27 H26:H27 L26:L27 A30:E31 H30:I31 L30:L31 A36:A37 E36:E37 H36:H37 L36:L37 A40:A41 E40:E41 H40:H41 L40:L41 C40:C65536 B41:B43 A44:A45 E44:E45 H44:H45 L44:L45 B45:B65536">
    <cfRule type="cellIs" dxfId="5" priority="1" stopIfTrue="1" operator="equal">
      <formula>0</formula>
    </cfRule>
  </conditionalFormatting>
  <pageMargins left="0.27986111111111112" right="0.2298611111111111" top="0.3298611111111111" bottom="0.27986111111111112" header="0.51180555555555551" footer="0.51180555555555551"/>
  <pageSetup paperSize="9" scale="66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13"/>
    <pageSetUpPr fitToPage="1"/>
  </sheetPr>
  <dimension ref="A1:P29"/>
  <sheetViews>
    <sheetView view="pageBreakPreview" zoomScale="50" zoomScaleSheetLayoutView="50" workbookViewId="0">
      <selection activeCell="O16" sqref="O16"/>
    </sheetView>
  </sheetViews>
  <sheetFormatPr defaultColWidth="9.140625" defaultRowHeight="18" x14ac:dyDescent="0.25"/>
  <cols>
    <col min="1" max="1" width="23.5703125" style="178" customWidth="1"/>
    <col min="2" max="2" width="4.7109375" style="179" customWidth="1"/>
    <col min="3" max="3" width="2.85546875" style="180" customWidth="1"/>
    <col min="4" max="4" width="4.7109375" style="181" customWidth="1"/>
    <col min="5" max="5" width="25.140625" style="178" customWidth="1"/>
    <col min="6" max="6" width="2.5703125" style="178" customWidth="1"/>
    <col min="7" max="7" width="4.28515625" style="182" customWidth="1"/>
    <col min="8" max="8" width="21.140625" style="178" customWidth="1"/>
    <col min="9" max="16" width="4.7109375" style="178" customWidth="1"/>
    <col min="17" max="16384" width="9.140625" style="178"/>
  </cols>
  <sheetData>
    <row r="1" spans="1:16" ht="59.25" customHeight="1" x14ac:dyDescent="0.35">
      <c r="A1" s="396" t="s">
        <v>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30" x14ac:dyDescent="0.4">
      <c r="A2" s="397" t="s">
        <v>82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1.25" customHeight="1" x14ac:dyDescent="0.4">
      <c r="A3" s="183"/>
      <c r="B3" s="184"/>
      <c r="C3" s="184"/>
      <c r="D3" s="184"/>
      <c r="E3" s="184"/>
      <c r="F3" s="184"/>
      <c r="G3" s="185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190" customFormat="1" ht="12.75" customHeight="1" x14ac:dyDescent="0.2">
      <c r="A4" s="186" t="s">
        <v>64</v>
      </c>
      <c r="B4" s="187"/>
      <c r="C4" s="188"/>
      <c r="D4" s="187"/>
      <c r="E4" s="189"/>
      <c r="G4" s="191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90" customFormat="1" ht="15" customHeight="1" x14ac:dyDescent="0.2">
      <c r="A5" s="193" t="e">
        <f>#REF!</f>
        <v>#REF!</v>
      </c>
      <c r="B5" s="194">
        <v>5</v>
      </c>
      <c r="C5" s="195" t="s">
        <v>83</v>
      </c>
      <c r="D5" s="194">
        <v>3</v>
      </c>
      <c r="E5" s="196" t="e">
        <f>#REF!</f>
        <v>#REF!</v>
      </c>
      <c r="G5" s="191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90" customFormat="1" ht="15" customHeight="1" x14ac:dyDescent="0.2">
      <c r="A6" s="197" t="e">
        <f>#REF!</f>
        <v>#REF!</v>
      </c>
      <c r="B6" s="198">
        <v>2</v>
      </c>
      <c r="C6" s="199" t="s">
        <v>83</v>
      </c>
      <c r="D6" s="198">
        <v>12</v>
      </c>
      <c r="E6" s="200" t="e">
        <f>#REF!</f>
        <v>#REF!</v>
      </c>
      <c r="G6" s="191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190" customFormat="1" ht="12.75" customHeight="1" x14ac:dyDescent="0.2">
      <c r="A7" s="201"/>
      <c r="B7" s="202"/>
      <c r="C7" s="203"/>
      <c r="D7" s="202"/>
      <c r="E7" s="201"/>
      <c r="G7" s="204"/>
      <c r="H7" s="205"/>
      <c r="I7" s="398" t="s">
        <v>36</v>
      </c>
      <c r="J7" s="398" t="s">
        <v>11</v>
      </c>
      <c r="K7" s="398" t="s">
        <v>12</v>
      </c>
      <c r="L7" s="398" t="s">
        <v>13</v>
      </c>
      <c r="M7" s="398" t="s">
        <v>1</v>
      </c>
      <c r="N7" s="398" t="s">
        <v>14</v>
      </c>
      <c r="O7" s="398" t="s">
        <v>10</v>
      </c>
      <c r="P7" s="399" t="s">
        <v>84</v>
      </c>
    </row>
    <row r="8" spans="1:16" s="190" customFormat="1" ht="15" customHeight="1" x14ac:dyDescent="0.2">
      <c r="A8" s="201"/>
      <c r="B8" s="202"/>
      <c r="C8" s="203"/>
      <c r="D8" s="202"/>
      <c r="E8" s="201"/>
      <c r="G8" s="206"/>
      <c r="H8" s="207"/>
      <c r="I8" s="398"/>
      <c r="J8" s="398"/>
      <c r="K8" s="398"/>
      <c r="L8" s="398"/>
      <c r="M8" s="398"/>
      <c r="N8" s="398"/>
      <c r="O8" s="398"/>
      <c r="P8" s="399"/>
    </row>
    <row r="9" spans="1:16" s="190" customFormat="1" ht="15" customHeight="1" x14ac:dyDescent="0.2">
      <c r="A9" s="201"/>
      <c r="B9" s="202"/>
      <c r="C9" s="203"/>
      <c r="D9" s="202"/>
      <c r="E9" s="201"/>
      <c r="G9" s="208">
        <v>1</v>
      </c>
      <c r="H9" s="209" t="e">
        <f>VLOOKUP($G9,B!$L$2:$U$19,3,FALSE)</f>
        <v>#N/A</v>
      </c>
      <c r="I9" s="210" t="e">
        <f>VLOOKUP($G9,B!$L$2:$U$19,4,FALSE)</f>
        <v>#N/A</v>
      </c>
      <c r="J9" s="210" t="e">
        <f>VLOOKUP($G9,B!$L$2:$U$19,5,FALSE)</f>
        <v>#N/A</v>
      </c>
      <c r="K9" s="210" t="e">
        <f>VLOOKUP($G9,B!$L$2:$U$19,6,FALSE)</f>
        <v>#N/A</v>
      </c>
      <c r="L9" s="210" t="e">
        <f>VLOOKUP($G9,B!$L$2:$U$19,7,FALSE)</f>
        <v>#N/A</v>
      </c>
      <c r="M9" s="210" t="e">
        <f>VLOOKUP($G9,B!$L$2:$U$19,8,FALSE)</f>
        <v>#N/A</v>
      </c>
      <c r="N9" s="210" t="e">
        <f>VLOOKUP($G9,B!$L$2:$U$19,9,FALSE)</f>
        <v>#N/A</v>
      </c>
      <c r="O9" s="211" t="e">
        <f>VLOOKUP($G9,B!$L$2:$U$19,10,FALSE)</f>
        <v>#N/A</v>
      </c>
      <c r="P9" s="212" t="e">
        <f>+M9-N9</f>
        <v>#N/A</v>
      </c>
    </row>
    <row r="10" spans="1:16" s="190" customFormat="1" ht="15" customHeight="1" x14ac:dyDescent="0.2">
      <c r="A10" s="201"/>
      <c r="B10" s="202"/>
      <c r="C10" s="203"/>
      <c r="D10" s="202"/>
      <c r="E10" s="201"/>
      <c r="G10" s="208">
        <v>2</v>
      </c>
      <c r="H10" s="209" t="e">
        <f>VLOOKUP($G10,B!$L$2:$U$19,3,FALSE)</f>
        <v>#N/A</v>
      </c>
      <c r="I10" s="210" t="e">
        <f>VLOOKUP($G10,B!$L$2:$U$19,4,FALSE)</f>
        <v>#N/A</v>
      </c>
      <c r="J10" s="210" t="e">
        <f>VLOOKUP($G10,B!$L$2:$U$19,5,FALSE)</f>
        <v>#N/A</v>
      </c>
      <c r="K10" s="210" t="e">
        <f>VLOOKUP($G10,B!$L$2:$U$19,6,FALSE)</f>
        <v>#N/A</v>
      </c>
      <c r="L10" s="210" t="e">
        <f>VLOOKUP($G10,B!$L$2:$U$19,7,FALSE)</f>
        <v>#N/A</v>
      </c>
      <c r="M10" s="210" t="e">
        <f>VLOOKUP($G10,B!$L$2:$U$19,8,FALSE)</f>
        <v>#N/A</v>
      </c>
      <c r="N10" s="210" t="e">
        <f>VLOOKUP($G10,B!$L$2:$U$19,9,FALSE)</f>
        <v>#N/A</v>
      </c>
      <c r="O10" s="211" t="e">
        <f>VLOOKUP($G10,B!$L$2:$U$19,10,FALSE)</f>
        <v>#N/A</v>
      </c>
      <c r="P10" s="212" t="e">
        <f>+M10-N10</f>
        <v>#N/A</v>
      </c>
    </row>
    <row r="11" spans="1:16" s="190" customFormat="1" ht="15" customHeight="1" x14ac:dyDescent="0.2">
      <c r="A11" s="201"/>
      <c r="B11" s="202"/>
      <c r="C11" s="203"/>
      <c r="D11" s="202"/>
      <c r="E11" s="201"/>
      <c r="G11" s="208">
        <v>3</v>
      </c>
      <c r="H11" s="209" t="e">
        <f>VLOOKUP($G11,B!$L$2:$U$19,3,FALSE)</f>
        <v>#N/A</v>
      </c>
      <c r="I11" s="210" t="e">
        <f>VLOOKUP($G11,B!$L$2:$U$19,4,FALSE)</f>
        <v>#N/A</v>
      </c>
      <c r="J11" s="210" t="e">
        <f>VLOOKUP($G11,B!$L$2:$U$19,5,FALSE)</f>
        <v>#N/A</v>
      </c>
      <c r="K11" s="210" t="e">
        <f>VLOOKUP($G11,B!$L$2:$U$19,6,FALSE)</f>
        <v>#N/A</v>
      </c>
      <c r="L11" s="210" t="e">
        <f>VLOOKUP($G11,B!$L$2:$U$19,7,FALSE)</f>
        <v>#N/A</v>
      </c>
      <c r="M11" s="210" t="e">
        <f>VLOOKUP($G11,B!$L$2:$U$19,8,FALSE)</f>
        <v>#N/A</v>
      </c>
      <c r="N11" s="210" t="e">
        <f>VLOOKUP($G11,B!$L$2:$U$19,9,FALSE)</f>
        <v>#N/A</v>
      </c>
      <c r="O11" s="211" t="e">
        <f>VLOOKUP($G11,B!$L$2:$U$19,10,FALSE)</f>
        <v>#N/A</v>
      </c>
      <c r="P11" s="212" t="e">
        <f>+M11-N11</f>
        <v>#N/A</v>
      </c>
    </row>
    <row r="12" spans="1:16" s="190" customFormat="1" ht="15" customHeight="1" x14ac:dyDescent="0.2">
      <c r="A12" s="201"/>
      <c r="B12" s="202"/>
      <c r="C12" s="203"/>
      <c r="D12" s="202"/>
      <c r="E12" s="201"/>
      <c r="G12" s="213">
        <v>4</v>
      </c>
      <c r="H12" s="214" t="e">
        <f>VLOOKUP($G12,B!$L$2:$U$19,3,FALSE)</f>
        <v>#N/A</v>
      </c>
      <c r="I12" s="215" t="e">
        <f>VLOOKUP($G12,B!$L$2:$U$19,4,FALSE)</f>
        <v>#N/A</v>
      </c>
      <c r="J12" s="215" t="e">
        <f>VLOOKUP($G12,B!$L$2:$U$19,5,FALSE)</f>
        <v>#N/A</v>
      </c>
      <c r="K12" s="215" t="e">
        <f>VLOOKUP($G12,B!$L$2:$U$19,6,FALSE)</f>
        <v>#N/A</v>
      </c>
      <c r="L12" s="215" t="e">
        <f>VLOOKUP($G12,B!$L$2:$U$19,7,FALSE)</f>
        <v>#N/A</v>
      </c>
      <c r="M12" s="215" t="e">
        <f>VLOOKUP($G12,B!$L$2:$U$19,8,FALSE)</f>
        <v>#N/A</v>
      </c>
      <c r="N12" s="215" t="e">
        <f>VLOOKUP($G12,B!$L$2:$U$19,9,FALSE)</f>
        <v>#N/A</v>
      </c>
      <c r="O12" s="216" t="e">
        <f>VLOOKUP($G12,B!$L$2:$U$19,10,FALSE)</f>
        <v>#N/A</v>
      </c>
      <c r="P12" s="217" t="e">
        <f>+M12-N12</f>
        <v>#N/A</v>
      </c>
    </row>
    <row r="13" spans="1:16" s="190" customFormat="1" ht="19.5" hidden="1" customHeight="1" x14ac:dyDescent="0.2">
      <c r="A13" s="201"/>
      <c r="B13" s="202"/>
      <c r="C13" s="203"/>
      <c r="D13" s="202"/>
      <c r="E13" s="201"/>
      <c r="G13" s="218"/>
      <c r="H13" s="219"/>
      <c r="I13" s="219"/>
      <c r="J13" s="219"/>
      <c r="K13" s="219"/>
      <c r="L13" s="219"/>
      <c r="M13" s="219"/>
      <c r="N13" s="219"/>
      <c r="O13" s="220"/>
      <c r="P13" s="221"/>
    </row>
    <row r="14" spans="1:16" s="190" customFormat="1" ht="12.75" customHeight="1" x14ac:dyDescent="0.2">
      <c r="A14" s="222"/>
      <c r="B14" s="222"/>
      <c r="C14" s="223"/>
      <c r="D14" s="222"/>
      <c r="E14" s="222"/>
      <c r="G14" s="218"/>
      <c r="H14" s="219"/>
      <c r="I14" s="219"/>
      <c r="J14" s="219"/>
      <c r="K14" s="219"/>
      <c r="L14" s="219"/>
      <c r="M14" s="219"/>
      <c r="N14" s="219"/>
      <c r="O14" s="220"/>
      <c r="P14" s="221"/>
    </row>
    <row r="15" spans="1:16" s="190" customFormat="1" ht="12.75" customHeight="1" x14ac:dyDescent="0.2">
      <c r="A15" s="186" t="s">
        <v>66</v>
      </c>
      <c r="B15" s="187"/>
      <c r="C15" s="188"/>
      <c r="D15" s="187"/>
      <c r="E15" s="189"/>
      <c r="G15" s="218"/>
      <c r="H15" s="219"/>
      <c r="I15" s="219"/>
      <c r="J15" s="219"/>
      <c r="K15" s="219"/>
      <c r="L15" s="219"/>
      <c r="M15" s="219"/>
      <c r="N15" s="219"/>
      <c r="O15" s="220"/>
      <c r="P15" s="221"/>
    </row>
    <row r="16" spans="1:16" s="190" customFormat="1" ht="15" customHeight="1" x14ac:dyDescent="0.2">
      <c r="A16" s="193" t="e">
        <f>A5</f>
        <v>#REF!</v>
      </c>
      <c r="B16" s="194">
        <v>5</v>
      </c>
      <c r="C16" s="195" t="s">
        <v>83</v>
      </c>
      <c r="D16" s="194">
        <v>4</v>
      </c>
      <c r="E16" s="196" t="e">
        <f>A6</f>
        <v>#REF!</v>
      </c>
      <c r="G16" s="218"/>
      <c r="H16" s="219"/>
      <c r="I16" s="219"/>
      <c r="J16" s="219"/>
      <c r="K16" s="219"/>
      <c r="L16" s="219"/>
      <c r="M16" s="219"/>
      <c r="N16" s="219"/>
      <c r="O16" s="220"/>
      <c r="P16" s="221"/>
    </row>
    <row r="17" spans="1:16" s="190" customFormat="1" ht="15" customHeight="1" x14ac:dyDescent="0.2">
      <c r="A17" s="197" t="e">
        <f>E5</f>
        <v>#REF!</v>
      </c>
      <c r="B17" s="198">
        <v>6</v>
      </c>
      <c r="C17" s="199" t="s">
        <v>83</v>
      </c>
      <c r="D17" s="198">
        <v>4</v>
      </c>
      <c r="E17" s="200" t="e">
        <f>E6</f>
        <v>#REF!</v>
      </c>
      <c r="G17" s="218"/>
      <c r="H17" s="219"/>
      <c r="I17" s="394" t="s">
        <v>0</v>
      </c>
      <c r="J17" s="394"/>
      <c r="K17" s="394"/>
      <c r="L17" s="394"/>
      <c r="M17" s="394"/>
      <c r="N17" s="219"/>
      <c r="O17" s="220"/>
      <c r="P17" s="221"/>
    </row>
    <row r="18" spans="1:16" s="190" customFormat="1" ht="12.75" hidden="1" customHeight="1" x14ac:dyDescent="0.2">
      <c r="A18" s="201"/>
      <c r="B18" s="202"/>
      <c r="C18" s="203"/>
      <c r="D18" s="202"/>
      <c r="E18" s="201"/>
      <c r="G18" s="218"/>
      <c r="H18" s="219"/>
      <c r="I18" s="395" t="s">
        <v>12</v>
      </c>
      <c r="J18" s="395"/>
      <c r="K18" s="395"/>
      <c r="L18" s="395"/>
      <c r="M18" s="395"/>
      <c r="N18" s="219"/>
      <c r="O18" s="220"/>
      <c r="P18" s="221"/>
    </row>
    <row r="19" spans="1:16" s="190" customFormat="1" ht="12.75" hidden="1" customHeight="1" x14ac:dyDescent="0.2">
      <c r="A19" s="201"/>
      <c r="B19" s="202"/>
      <c r="C19" s="203"/>
      <c r="D19" s="202"/>
      <c r="E19" s="201"/>
      <c r="G19" s="218"/>
      <c r="H19" s="219"/>
      <c r="I19" s="395"/>
      <c r="J19" s="395"/>
      <c r="K19" s="395"/>
      <c r="L19" s="395"/>
      <c r="M19" s="395"/>
      <c r="N19" s="219"/>
      <c r="O19" s="220"/>
      <c r="P19" s="221"/>
    </row>
    <row r="20" spans="1:16" s="190" customFormat="1" ht="13.5" hidden="1" customHeight="1" x14ac:dyDescent="0.2">
      <c r="A20" s="201"/>
      <c r="B20" s="202"/>
      <c r="C20" s="203"/>
      <c r="D20" s="202"/>
      <c r="E20" s="201"/>
      <c r="G20" s="218"/>
      <c r="H20" s="219"/>
      <c r="I20" s="395"/>
      <c r="J20" s="395"/>
      <c r="K20" s="395"/>
      <c r="L20" s="395"/>
      <c r="M20" s="395"/>
      <c r="N20" s="219"/>
      <c r="O20" s="220"/>
      <c r="P20" s="221"/>
    </row>
    <row r="21" spans="1:16" s="190" customFormat="1" ht="12.75" hidden="1" customHeight="1" x14ac:dyDescent="0.2">
      <c r="A21" s="201"/>
      <c r="B21" s="202"/>
      <c r="C21" s="203"/>
      <c r="D21" s="202"/>
      <c r="E21" s="201"/>
      <c r="G21" s="218"/>
      <c r="H21" s="219"/>
      <c r="I21" s="395"/>
      <c r="J21" s="395"/>
      <c r="K21" s="395"/>
      <c r="L21" s="395"/>
      <c r="M21" s="395"/>
      <c r="N21" s="219"/>
      <c r="O21" s="220"/>
      <c r="P21" s="221"/>
    </row>
    <row r="22" spans="1:16" s="190" customFormat="1" ht="12.75" hidden="1" customHeight="1" x14ac:dyDescent="0.2">
      <c r="A22" s="201"/>
      <c r="B22" s="202"/>
      <c r="C22" s="203"/>
      <c r="D22" s="202"/>
      <c r="E22" s="201"/>
      <c r="G22" s="218"/>
      <c r="H22" s="219"/>
      <c r="I22" s="395"/>
      <c r="J22" s="395"/>
      <c r="K22" s="395"/>
      <c r="L22" s="395"/>
      <c r="M22" s="395"/>
      <c r="N22" s="219"/>
      <c r="O22" s="220"/>
      <c r="P22" s="221"/>
    </row>
    <row r="23" spans="1:16" s="190" customFormat="1" ht="12.75" hidden="1" customHeight="1" x14ac:dyDescent="0.2">
      <c r="A23" s="201"/>
      <c r="B23" s="202"/>
      <c r="C23" s="203"/>
      <c r="D23" s="202"/>
      <c r="E23" s="201"/>
      <c r="G23" s="218"/>
      <c r="H23" s="219"/>
      <c r="I23" s="395"/>
      <c r="J23" s="395"/>
      <c r="K23" s="395"/>
      <c r="L23" s="395"/>
      <c r="M23" s="395"/>
      <c r="N23" s="219"/>
      <c r="O23" s="220"/>
      <c r="P23" s="221"/>
    </row>
    <row r="24" spans="1:16" s="190" customFormat="1" ht="12.75" hidden="1" customHeight="1" x14ac:dyDescent="0.2">
      <c r="A24" s="201"/>
      <c r="B24" s="202"/>
      <c r="C24" s="203"/>
      <c r="D24" s="202"/>
      <c r="E24" s="201"/>
      <c r="G24" s="218"/>
      <c r="H24" s="219"/>
      <c r="I24" s="395"/>
      <c r="J24" s="395"/>
      <c r="K24" s="395"/>
      <c r="L24" s="395"/>
      <c r="M24" s="395"/>
      <c r="N24" s="219"/>
      <c r="O24" s="220"/>
      <c r="P24" s="221"/>
    </row>
    <row r="25" spans="1:16" s="190" customFormat="1" ht="12.75" customHeight="1" x14ac:dyDescent="0.2">
      <c r="A25" s="222"/>
      <c r="B25" s="222"/>
      <c r="C25" s="223"/>
      <c r="D25" s="222"/>
      <c r="E25" s="222"/>
      <c r="G25" s="218"/>
      <c r="H25" s="219"/>
      <c r="I25" s="395"/>
      <c r="J25" s="395"/>
      <c r="K25" s="395"/>
      <c r="L25" s="395"/>
      <c r="M25" s="395"/>
      <c r="N25" s="219"/>
      <c r="O25" s="220"/>
      <c r="P25" s="221"/>
    </row>
    <row r="26" spans="1:16" s="190" customFormat="1" ht="12.75" customHeight="1" x14ac:dyDescent="0.2">
      <c r="A26" s="186" t="s">
        <v>67</v>
      </c>
      <c r="B26" s="187"/>
      <c r="C26" s="188"/>
      <c r="D26" s="187"/>
      <c r="E26" s="189"/>
      <c r="G26" s="218"/>
      <c r="H26" s="219"/>
      <c r="I26" s="395"/>
      <c r="J26" s="395"/>
      <c r="K26" s="395"/>
      <c r="L26" s="395"/>
      <c r="M26" s="395"/>
      <c r="N26" s="219"/>
      <c r="O26" s="220"/>
      <c r="P26" s="221"/>
    </row>
    <row r="27" spans="1:16" s="190" customFormat="1" ht="15" customHeight="1" x14ac:dyDescent="0.2">
      <c r="A27" s="224" t="e">
        <f>A16</f>
        <v>#REF!</v>
      </c>
      <c r="B27" s="202">
        <v>1</v>
      </c>
      <c r="C27" s="195" t="s">
        <v>83</v>
      </c>
      <c r="D27" s="202">
        <v>3</v>
      </c>
      <c r="E27" s="225" t="e">
        <f>E17</f>
        <v>#REF!</v>
      </c>
      <c r="G27" s="218"/>
      <c r="H27" s="226"/>
      <c r="I27" s="395"/>
      <c r="J27" s="395"/>
      <c r="K27" s="395"/>
      <c r="L27" s="395"/>
      <c r="M27" s="395"/>
      <c r="N27" s="226"/>
      <c r="O27" s="226"/>
      <c r="P27" s="226"/>
    </row>
    <row r="28" spans="1:16" s="190" customFormat="1" ht="15" customHeight="1" x14ac:dyDescent="0.2">
      <c r="A28" s="227" t="e">
        <f>E5</f>
        <v>#REF!</v>
      </c>
      <c r="B28" s="228">
        <v>11</v>
      </c>
      <c r="C28" s="199" t="s">
        <v>83</v>
      </c>
      <c r="D28" s="228">
        <v>3</v>
      </c>
      <c r="E28" s="229" t="e">
        <f>E16</f>
        <v>#REF!</v>
      </c>
      <c r="G28" s="191"/>
      <c r="H28" s="192"/>
      <c r="I28" s="395"/>
      <c r="J28" s="395"/>
      <c r="K28" s="395"/>
      <c r="L28" s="395"/>
      <c r="M28" s="395"/>
      <c r="N28" s="192"/>
      <c r="O28" s="192"/>
      <c r="P28" s="192"/>
    </row>
    <row r="29" spans="1:16" s="235" customFormat="1" ht="12.75" customHeight="1" x14ac:dyDescent="0.15">
      <c r="A29" s="230"/>
      <c r="B29" s="231"/>
      <c r="C29" s="232"/>
      <c r="D29" s="233"/>
      <c r="E29" s="234"/>
      <c r="G29" s="236"/>
      <c r="H29" s="237"/>
      <c r="I29" s="395"/>
      <c r="J29" s="395"/>
      <c r="K29" s="395"/>
      <c r="L29" s="395"/>
      <c r="M29" s="395"/>
      <c r="N29" s="237"/>
      <c r="O29" s="237"/>
      <c r="P29" s="237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E5:E6 A16:A17 E16:E17">
    <cfRule type="cellIs" dxfId="4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48"/>
    <pageSetUpPr fitToPage="1"/>
  </sheetPr>
  <dimension ref="A1:P29"/>
  <sheetViews>
    <sheetView view="pageBreakPreview" zoomScale="50" zoomScaleSheetLayoutView="50" workbookViewId="0">
      <selection activeCell="G40" sqref="G40"/>
    </sheetView>
  </sheetViews>
  <sheetFormatPr defaultColWidth="9.140625" defaultRowHeight="18" x14ac:dyDescent="0.25"/>
  <cols>
    <col min="1" max="1" width="25.140625" style="178" customWidth="1"/>
    <col min="2" max="2" width="4.7109375" style="179" customWidth="1"/>
    <col min="3" max="3" width="2.85546875" style="180" customWidth="1"/>
    <col min="4" max="4" width="4.7109375" style="181" customWidth="1"/>
    <col min="5" max="5" width="27.28515625" style="178" customWidth="1"/>
    <col min="6" max="6" width="2.5703125" style="178" customWidth="1"/>
    <col min="7" max="7" width="4" style="178" customWidth="1"/>
    <col min="8" max="8" width="21.42578125" style="178" customWidth="1"/>
    <col min="9" max="16" width="4.7109375" style="178" customWidth="1"/>
    <col min="17" max="16384" width="9.140625" style="178"/>
  </cols>
  <sheetData>
    <row r="1" spans="1:16" ht="59.25" customHeight="1" x14ac:dyDescent="0.35">
      <c r="A1" s="396" t="s">
        <v>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30" x14ac:dyDescent="0.4">
      <c r="A2" s="397" t="s">
        <v>85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s="235" customFormat="1" ht="12.75" customHeight="1" x14ac:dyDescent="0.1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6" s="190" customFormat="1" ht="12.75" customHeight="1" x14ac:dyDescent="0.2">
      <c r="A4" s="186" t="s">
        <v>64</v>
      </c>
      <c r="B4" s="187"/>
      <c r="C4" s="188"/>
      <c r="D4" s="187"/>
      <c r="E4" s="189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90" customFormat="1" ht="15" customHeight="1" x14ac:dyDescent="0.2">
      <c r="A5" s="193" t="e">
        <f>#REF!</f>
        <v>#REF!</v>
      </c>
      <c r="B5" s="194">
        <v>4</v>
      </c>
      <c r="C5" s="195" t="s">
        <v>83</v>
      </c>
      <c r="D5" s="194">
        <v>10</v>
      </c>
      <c r="E5" s="196" t="e">
        <f>#REF!</f>
        <v>#REF!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90" customFormat="1" ht="15" customHeight="1" x14ac:dyDescent="0.2">
      <c r="A6" s="197" t="e">
        <f>#REF!</f>
        <v>#REF!</v>
      </c>
      <c r="B6" s="198">
        <v>6</v>
      </c>
      <c r="C6" s="199" t="s">
        <v>83</v>
      </c>
      <c r="D6" s="198">
        <v>12</v>
      </c>
      <c r="E6" s="200" t="e">
        <f>#REF!</f>
        <v>#REF!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190" customFormat="1" ht="12.75" customHeight="1" x14ac:dyDescent="0.2">
      <c r="A7" s="201"/>
      <c r="B7" s="202"/>
      <c r="C7" s="203"/>
      <c r="D7" s="202"/>
      <c r="E7" s="201"/>
      <c r="G7" s="240"/>
      <c r="H7" s="205"/>
      <c r="I7" s="398" t="s">
        <v>36</v>
      </c>
      <c r="J7" s="398" t="s">
        <v>11</v>
      </c>
      <c r="K7" s="398" t="s">
        <v>12</v>
      </c>
      <c r="L7" s="398" t="s">
        <v>13</v>
      </c>
      <c r="M7" s="398" t="s">
        <v>1</v>
      </c>
      <c r="N7" s="398" t="s">
        <v>14</v>
      </c>
      <c r="O7" s="398" t="s">
        <v>10</v>
      </c>
      <c r="P7" s="399" t="s">
        <v>84</v>
      </c>
    </row>
    <row r="8" spans="1:16" s="190" customFormat="1" ht="15" customHeight="1" x14ac:dyDescent="0.2">
      <c r="A8" s="201"/>
      <c r="B8" s="202"/>
      <c r="C8" s="203"/>
      <c r="D8" s="202"/>
      <c r="E8" s="201"/>
      <c r="G8" s="241"/>
      <c r="H8" s="207"/>
      <c r="I8" s="398"/>
      <c r="J8" s="398"/>
      <c r="K8" s="398"/>
      <c r="L8" s="398"/>
      <c r="M8" s="398"/>
      <c r="N8" s="398"/>
      <c r="O8" s="398"/>
      <c r="P8" s="399"/>
    </row>
    <row r="9" spans="1:16" s="190" customFormat="1" ht="15" customHeight="1" x14ac:dyDescent="0.2">
      <c r="A9" s="201"/>
      <c r="B9" s="202"/>
      <c r="C9" s="203"/>
      <c r="D9" s="202"/>
      <c r="E9" s="201"/>
      <c r="G9" s="208">
        <v>1</v>
      </c>
      <c r="H9" s="209" t="e">
        <f>VLOOKUP($G9,'C'!$L$2:$U$19,3,FALSE)</f>
        <v>#N/A</v>
      </c>
      <c r="I9" s="210" t="e">
        <f>VLOOKUP($G9,'C'!$L$2:$U$19,4,FALSE)</f>
        <v>#N/A</v>
      </c>
      <c r="J9" s="210" t="e">
        <f>VLOOKUP($G9,'C'!$L$2:$U$19,5,FALSE)</f>
        <v>#N/A</v>
      </c>
      <c r="K9" s="210" t="e">
        <f>VLOOKUP($G9,'C'!$L$2:$U$19,6,FALSE)</f>
        <v>#N/A</v>
      </c>
      <c r="L9" s="210" t="e">
        <f>VLOOKUP($G9,'C'!$L$2:$U$19,7,FALSE)</f>
        <v>#N/A</v>
      </c>
      <c r="M9" s="210" t="e">
        <f>VLOOKUP($G9,'C'!$L$2:$U$19,8,FALSE)</f>
        <v>#N/A</v>
      </c>
      <c r="N9" s="210" t="e">
        <f>VLOOKUP($G9,'C'!$L$2:$U$19,9,FALSE)</f>
        <v>#N/A</v>
      </c>
      <c r="O9" s="211" t="e">
        <f>VLOOKUP($G9,'C'!$L$2:$U$19,10,FALSE)</f>
        <v>#N/A</v>
      </c>
      <c r="P9" s="212" t="e">
        <f>+M9-N9</f>
        <v>#N/A</v>
      </c>
    </row>
    <row r="10" spans="1:16" s="190" customFormat="1" ht="15" customHeight="1" x14ac:dyDescent="0.2">
      <c r="A10" s="201"/>
      <c r="B10" s="202"/>
      <c r="C10" s="203"/>
      <c r="D10" s="202"/>
      <c r="E10" s="201"/>
      <c r="G10" s="208">
        <v>2</v>
      </c>
      <c r="H10" s="209" t="e">
        <f>VLOOKUP($G10,'C'!$L$2:$U$19,3,FALSE)</f>
        <v>#N/A</v>
      </c>
      <c r="I10" s="210" t="e">
        <f>VLOOKUP($G10,'C'!$L$2:$U$19,4,FALSE)</f>
        <v>#N/A</v>
      </c>
      <c r="J10" s="210" t="e">
        <f>VLOOKUP($G10,'C'!$L$2:$U$19,5,FALSE)</f>
        <v>#N/A</v>
      </c>
      <c r="K10" s="210" t="e">
        <f>VLOOKUP($G10,'C'!$L$2:$U$19,6,FALSE)</f>
        <v>#N/A</v>
      </c>
      <c r="L10" s="210" t="e">
        <f>VLOOKUP($G10,'C'!$L$2:$U$19,7,FALSE)</f>
        <v>#N/A</v>
      </c>
      <c r="M10" s="210" t="e">
        <f>VLOOKUP($G10,'C'!$L$2:$U$19,8,FALSE)</f>
        <v>#N/A</v>
      </c>
      <c r="N10" s="210" t="e">
        <f>VLOOKUP($G10,'C'!$L$2:$U$19,9,FALSE)</f>
        <v>#N/A</v>
      </c>
      <c r="O10" s="211" t="e">
        <f>VLOOKUP($G10,'C'!$L$2:$U$19,10,FALSE)</f>
        <v>#N/A</v>
      </c>
      <c r="P10" s="212" t="e">
        <f>+M10-N10</f>
        <v>#N/A</v>
      </c>
    </row>
    <row r="11" spans="1:16" s="190" customFormat="1" ht="15" customHeight="1" x14ac:dyDescent="0.2">
      <c r="A11" s="201"/>
      <c r="B11" s="202"/>
      <c r="C11" s="203"/>
      <c r="D11" s="202"/>
      <c r="E11" s="201"/>
      <c r="G11" s="208">
        <v>3</v>
      </c>
      <c r="H11" s="209" t="e">
        <f>VLOOKUP($G11,'C'!$L$2:$U$19,3,FALSE)</f>
        <v>#N/A</v>
      </c>
      <c r="I11" s="210" t="e">
        <f>VLOOKUP($G11,'C'!$L$2:$U$19,4,FALSE)</f>
        <v>#N/A</v>
      </c>
      <c r="J11" s="210" t="e">
        <f>VLOOKUP($G11,'C'!$L$2:$U$19,5,FALSE)</f>
        <v>#N/A</v>
      </c>
      <c r="K11" s="210" t="e">
        <f>VLOOKUP($G11,'C'!$L$2:$U$19,6,FALSE)</f>
        <v>#N/A</v>
      </c>
      <c r="L11" s="210" t="e">
        <f>VLOOKUP($G11,'C'!$L$2:$U$19,7,FALSE)</f>
        <v>#N/A</v>
      </c>
      <c r="M11" s="210" t="e">
        <f>VLOOKUP($G11,'C'!$L$2:$U$19,8,FALSE)</f>
        <v>#N/A</v>
      </c>
      <c r="N11" s="210" t="e">
        <f>VLOOKUP($G11,'C'!$L$2:$U$19,9,FALSE)</f>
        <v>#N/A</v>
      </c>
      <c r="O11" s="211" t="e">
        <f>VLOOKUP($G11,'C'!$L$2:$U$19,10,FALSE)</f>
        <v>#N/A</v>
      </c>
      <c r="P11" s="212" t="e">
        <f>+M11-N11</f>
        <v>#N/A</v>
      </c>
    </row>
    <row r="12" spans="1:16" s="190" customFormat="1" ht="15" customHeight="1" x14ac:dyDescent="0.2">
      <c r="A12" s="201"/>
      <c r="B12" s="202"/>
      <c r="C12" s="203"/>
      <c r="D12" s="202"/>
      <c r="E12" s="201"/>
      <c r="G12" s="213">
        <v>4</v>
      </c>
      <c r="H12" s="214" t="e">
        <f>VLOOKUP($G12,'C'!$L$2:$U$19,3,FALSE)</f>
        <v>#N/A</v>
      </c>
      <c r="I12" s="215" t="e">
        <f>VLOOKUP($G12,'C'!$L$2:$U$19,4,FALSE)</f>
        <v>#N/A</v>
      </c>
      <c r="J12" s="215" t="e">
        <f>VLOOKUP($G12,'C'!$L$2:$U$19,5,FALSE)</f>
        <v>#N/A</v>
      </c>
      <c r="K12" s="215" t="e">
        <f>VLOOKUP($G12,'C'!$L$2:$U$19,6,FALSE)</f>
        <v>#N/A</v>
      </c>
      <c r="L12" s="215" t="e">
        <f>VLOOKUP($G12,'C'!$L$2:$U$19,7,FALSE)</f>
        <v>#N/A</v>
      </c>
      <c r="M12" s="215" t="e">
        <f>VLOOKUP($G12,'C'!$L$2:$U$19,8,FALSE)</f>
        <v>#N/A</v>
      </c>
      <c r="N12" s="215" t="e">
        <f>VLOOKUP($G12,'C'!$L$2:$U$19,9,FALSE)</f>
        <v>#N/A</v>
      </c>
      <c r="O12" s="216" t="e">
        <f>VLOOKUP($G12,'C'!$L$2:$U$19,10,FALSE)</f>
        <v>#N/A</v>
      </c>
      <c r="P12" s="217" t="e">
        <f>+M12-N12</f>
        <v>#N/A</v>
      </c>
    </row>
    <row r="13" spans="1:16" s="190" customFormat="1" ht="19.5" hidden="1" customHeight="1" x14ac:dyDescent="0.2">
      <c r="A13" s="201"/>
      <c r="B13" s="202"/>
      <c r="C13" s="203"/>
      <c r="D13" s="202"/>
      <c r="E13" s="201"/>
      <c r="G13" s="218"/>
      <c r="H13" s="219"/>
      <c r="I13" s="219"/>
      <c r="J13" s="219"/>
      <c r="K13" s="219"/>
      <c r="L13" s="219"/>
      <c r="M13" s="219"/>
      <c r="N13" s="219"/>
      <c r="O13" s="220"/>
      <c r="P13" s="221"/>
    </row>
    <row r="14" spans="1:16" s="190" customFormat="1" ht="12.75" customHeight="1" x14ac:dyDescent="0.2">
      <c r="A14" s="222"/>
      <c r="B14" s="222"/>
      <c r="C14" s="223"/>
      <c r="D14" s="222"/>
      <c r="E14" s="222"/>
      <c r="G14" s="218"/>
      <c r="H14" s="242"/>
      <c r="I14" s="242"/>
      <c r="J14" s="242"/>
      <c r="K14" s="242"/>
      <c r="L14" s="242"/>
      <c r="M14" s="242"/>
      <c r="N14" s="242"/>
      <c r="O14" s="243"/>
      <c r="P14" s="244"/>
    </row>
    <row r="15" spans="1:16" s="190" customFormat="1" ht="12.75" customHeight="1" x14ac:dyDescent="0.2">
      <c r="A15" s="186" t="s">
        <v>66</v>
      </c>
      <c r="B15" s="187"/>
      <c r="C15" s="188"/>
      <c r="D15" s="187"/>
      <c r="E15" s="189"/>
      <c r="G15" s="245"/>
      <c r="H15" s="242"/>
      <c r="I15" s="242"/>
      <c r="J15" s="242"/>
      <c r="K15" s="242"/>
      <c r="L15" s="242"/>
      <c r="M15" s="242"/>
      <c r="N15" s="242"/>
      <c r="O15" s="243"/>
      <c r="P15" s="244"/>
    </row>
    <row r="16" spans="1:16" s="190" customFormat="1" ht="15" customHeight="1" x14ac:dyDescent="0.2">
      <c r="A16" s="193" t="e">
        <f>A5</f>
        <v>#REF!</v>
      </c>
      <c r="B16" s="194">
        <v>0</v>
      </c>
      <c r="C16" s="195" t="s">
        <v>83</v>
      </c>
      <c r="D16" s="194">
        <v>3</v>
      </c>
      <c r="E16" s="196" t="e">
        <f>A6</f>
        <v>#REF!</v>
      </c>
      <c r="G16" s="245"/>
      <c r="H16" s="242"/>
      <c r="I16" s="242"/>
      <c r="J16" s="242"/>
      <c r="K16" s="242"/>
      <c r="L16" s="242"/>
      <c r="M16" s="242"/>
      <c r="N16" s="242"/>
      <c r="O16" s="243"/>
      <c r="P16" s="244"/>
    </row>
    <row r="17" spans="1:16" s="190" customFormat="1" ht="15" customHeight="1" x14ac:dyDescent="0.2">
      <c r="A17" s="197" t="e">
        <f>E5</f>
        <v>#REF!</v>
      </c>
      <c r="B17" s="198">
        <v>5</v>
      </c>
      <c r="C17" s="199" t="s">
        <v>83</v>
      </c>
      <c r="D17" s="198">
        <v>8</v>
      </c>
      <c r="E17" s="200" t="e">
        <f>E6</f>
        <v>#REF!</v>
      </c>
      <c r="G17" s="245"/>
      <c r="H17" s="242"/>
      <c r="I17" s="394" t="s">
        <v>0</v>
      </c>
      <c r="J17" s="394"/>
      <c r="K17" s="394"/>
      <c r="L17" s="394"/>
      <c r="M17" s="394"/>
      <c r="N17" s="242"/>
      <c r="O17" s="243"/>
      <c r="P17" s="244"/>
    </row>
    <row r="18" spans="1:16" s="190" customFormat="1" ht="12.75" hidden="1" customHeight="1" x14ac:dyDescent="0.2">
      <c r="A18" s="201"/>
      <c r="B18" s="202"/>
      <c r="C18" s="203"/>
      <c r="D18" s="202"/>
      <c r="E18" s="201"/>
      <c r="G18" s="245"/>
      <c r="H18" s="242"/>
      <c r="I18" s="395" t="s">
        <v>45</v>
      </c>
      <c r="J18" s="395"/>
      <c r="K18" s="395"/>
      <c r="L18" s="395"/>
      <c r="M18" s="395"/>
      <c r="N18" s="242"/>
      <c r="O18" s="243"/>
      <c r="P18" s="244"/>
    </row>
    <row r="19" spans="1:16" s="190" customFormat="1" ht="12.75" hidden="1" customHeight="1" x14ac:dyDescent="0.2">
      <c r="A19" s="201"/>
      <c r="B19" s="202"/>
      <c r="C19" s="203"/>
      <c r="D19" s="202"/>
      <c r="E19" s="201"/>
      <c r="G19" s="245"/>
      <c r="H19" s="242"/>
      <c r="I19" s="395"/>
      <c r="J19" s="395"/>
      <c r="K19" s="395"/>
      <c r="L19" s="395"/>
      <c r="M19" s="395"/>
      <c r="N19" s="242"/>
      <c r="O19" s="243"/>
      <c r="P19" s="244"/>
    </row>
    <row r="20" spans="1:16" s="190" customFormat="1" ht="13.5" hidden="1" customHeight="1" x14ac:dyDescent="0.2">
      <c r="A20" s="201"/>
      <c r="B20" s="202"/>
      <c r="C20" s="203"/>
      <c r="D20" s="202"/>
      <c r="E20" s="201"/>
      <c r="G20" s="245"/>
      <c r="H20" s="242"/>
      <c r="I20" s="395"/>
      <c r="J20" s="395"/>
      <c r="K20" s="395"/>
      <c r="L20" s="395"/>
      <c r="M20" s="395"/>
      <c r="N20" s="242"/>
      <c r="O20" s="243"/>
      <c r="P20" s="244"/>
    </row>
    <row r="21" spans="1:16" s="190" customFormat="1" ht="12.75" hidden="1" customHeight="1" x14ac:dyDescent="0.2">
      <c r="A21" s="201"/>
      <c r="B21" s="202"/>
      <c r="C21" s="203"/>
      <c r="D21" s="202"/>
      <c r="E21" s="201"/>
      <c r="G21" s="245"/>
      <c r="H21" s="242"/>
      <c r="I21" s="395"/>
      <c r="J21" s="395"/>
      <c r="K21" s="395"/>
      <c r="L21" s="395"/>
      <c r="M21" s="395"/>
      <c r="N21" s="242"/>
      <c r="O21" s="243"/>
      <c r="P21" s="244"/>
    </row>
    <row r="22" spans="1:16" s="190" customFormat="1" ht="12.75" hidden="1" customHeight="1" x14ac:dyDescent="0.2">
      <c r="A22" s="201"/>
      <c r="B22" s="202"/>
      <c r="C22" s="203"/>
      <c r="D22" s="202"/>
      <c r="E22" s="201"/>
      <c r="G22" s="245"/>
      <c r="H22" s="242"/>
      <c r="I22" s="395"/>
      <c r="J22" s="395"/>
      <c r="K22" s="395"/>
      <c r="L22" s="395"/>
      <c r="M22" s="395"/>
      <c r="N22" s="242"/>
      <c r="O22" s="243"/>
      <c r="P22" s="244"/>
    </row>
    <row r="23" spans="1:16" s="190" customFormat="1" ht="12.75" hidden="1" customHeight="1" x14ac:dyDescent="0.2">
      <c r="A23" s="201"/>
      <c r="B23" s="202"/>
      <c r="C23" s="203"/>
      <c r="D23" s="202"/>
      <c r="E23" s="201"/>
      <c r="G23" s="245"/>
      <c r="H23" s="242"/>
      <c r="I23" s="395"/>
      <c r="J23" s="395"/>
      <c r="K23" s="395"/>
      <c r="L23" s="395"/>
      <c r="M23" s="395"/>
      <c r="N23" s="242"/>
      <c r="O23" s="243"/>
      <c r="P23" s="244"/>
    </row>
    <row r="24" spans="1:16" s="190" customFormat="1" ht="12.75" hidden="1" customHeight="1" x14ac:dyDescent="0.2">
      <c r="A24" s="201"/>
      <c r="B24" s="202"/>
      <c r="C24" s="203"/>
      <c r="D24" s="202"/>
      <c r="E24" s="201"/>
      <c r="G24" s="245"/>
      <c r="H24" s="242"/>
      <c r="I24" s="395"/>
      <c r="J24" s="395"/>
      <c r="K24" s="395"/>
      <c r="L24" s="395"/>
      <c r="M24" s="395"/>
      <c r="N24" s="242"/>
      <c r="O24" s="243"/>
      <c r="P24" s="244"/>
    </row>
    <row r="25" spans="1:16" s="190" customFormat="1" ht="12.75" customHeight="1" x14ac:dyDescent="0.2">
      <c r="A25" s="222"/>
      <c r="B25" s="222"/>
      <c r="C25" s="223"/>
      <c r="D25" s="222"/>
      <c r="E25" s="222"/>
      <c r="G25" s="245"/>
      <c r="H25" s="242"/>
      <c r="I25" s="395"/>
      <c r="J25" s="395"/>
      <c r="K25" s="395"/>
      <c r="L25" s="395"/>
      <c r="M25" s="395"/>
      <c r="N25" s="242"/>
      <c r="O25" s="243"/>
      <c r="P25" s="244"/>
    </row>
    <row r="26" spans="1:16" s="190" customFormat="1" ht="12.75" customHeight="1" x14ac:dyDescent="0.2">
      <c r="A26" s="186" t="s">
        <v>67</v>
      </c>
      <c r="B26" s="187"/>
      <c r="C26" s="188"/>
      <c r="D26" s="187"/>
      <c r="E26" s="189"/>
      <c r="G26" s="245"/>
      <c r="H26" s="242"/>
      <c r="I26" s="395"/>
      <c r="J26" s="395"/>
      <c r="K26" s="395"/>
      <c r="L26" s="395"/>
      <c r="M26" s="395"/>
      <c r="N26" s="242"/>
      <c r="O26" s="243"/>
      <c r="P26" s="244"/>
    </row>
    <row r="27" spans="1:16" s="190" customFormat="1" ht="15" customHeight="1" x14ac:dyDescent="0.2">
      <c r="A27" s="224" t="e">
        <f>A16</f>
        <v>#REF!</v>
      </c>
      <c r="B27" s="202">
        <v>0</v>
      </c>
      <c r="C27" s="195" t="s">
        <v>83</v>
      </c>
      <c r="D27" s="202">
        <v>3</v>
      </c>
      <c r="E27" s="225" t="e">
        <f>E17</f>
        <v>#REF!</v>
      </c>
      <c r="G27" s="246"/>
      <c r="H27" s="226"/>
      <c r="I27" s="395"/>
      <c r="J27" s="395"/>
      <c r="K27" s="395"/>
      <c r="L27" s="395"/>
      <c r="M27" s="395"/>
      <c r="N27" s="226"/>
      <c r="O27" s="226"/>
      <c r="P27" s="226"/>
    </row>
    <row r="28" spans="1:16" s="190" customFormat="1" ht="15" customHeight="1" x14ac:dyDescent="0.2">
      <c r="A28" s="227" t="e">
        <f>E5</f>
        <v>#REF!</v>
      </c>
      <c r="B28" s="228">
        <v>15</v>
      </c>
      <c r="C28" s="199" t="s">
        <v>83</v>
      </c>
      <c r="D28" s="228">
        <v>6</v>
      </c>
      <c r="E28" s="229" t="e">
        <f>E16</f>
        <v>#REF!</v>
      </c>
      <c r="G28" s="192"/>
      <c r="H28" s="192"/>
      <c r="I28" s="395"/>
      <c r="J28" s="395"/>
      <c r="K28" s="395"/>
      <c r="L28" s="395"/>
      <c r="M28" s="395"/>
      <c r="N28" s="192"/>
      <c r="O28" s="192"/>
      <c r="P28" s="192"/>
    </row>
    <row r="29" spans="1:16" s="235" customFormat="1" ht="12.75" customHeight="1" x14ac:dyDescent="0.15">
      <c r="A29" s="230"/>
      <c r="B29" s="231"/>
      <c r="C29" s="232"/>
      <c r="D29" s="233"/>
      <c r="E29" s="234"/>
      <c r="G29" s="237"/>
      <c r="H29" s="237"/>
      <c r="I29" s="395"/>
      <c r="J29" s="395"/>
      <c r="K29" s="395"/>
      <c r="L29" s="395"/>
      <c r="M29" s="395"/>
      <c r="N29" s="237"/>
      <c r="O29" s="237"/>
      <c r="P29" s="237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E5:E6 A16:A17 E16:E17">
    <cfRule type="cellIs" dxfId="3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indexed="16"/>
    <pageSetUpPr fitToPage="1"/>
  </sheetPr>
  <dimension ref="A1:P30"/>
  <sheetViews>
    <sheetView view="pageBreakPreview" zoomScale="50" zoomScaleSheetLayoutView="50" workbookViewId="0">
      <selection activeCell="A29" sqref="A29"/>
    </sheetView>
  </sheetViews>
  <sheetFormatPr defaultColWidth="9.140625" defaultRowHeight="18" x14ac:dyDescent="0.25"/>
  <cols>
    <col min="1" max="1" width="23.7109375" style="178" customWidth="1"/>
    <col min="2" max="2" width="4.7109375" style="179" customWidth="1"/>
    <col min="3" max="3" width="2.85546875" style="180" customWidth="1"/>
    <col min="4" max="4" width="4.7109375" style="181" customWidth="1"/>
    <col min="5" max="5" width="26.140625" style="178" customWidth="1"/>
    <col min="6" max="6" width="2.5703125" style="178" customWidth="1"/>
    <col min="7" max="7" width="3.7109375" style="178" customWidth="1"/>
    <col min="8" max="8" width="21" style="178" customWidth="1"/>
    <col min="9" max="16" width="4.7109375" style="178" customWidth="1"/>
    <col min="17" max="16384" width="9.140625" style="178"/>
  </cols>
  <sheetData>
    <row r="1" spans="1:16" ht="59.25" customHeight="1" x14ac:dyDescent="0.35">
      <c r="A1" s="396" t="s">
        <v>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30" x14ac:dyDescent="0.4">
      <c r="A2" s="397" t="s">
        <v>86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5.75" customHeight="1" x14ac:dyDescent="0.4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190" customFormat="1" ht="12.75" customHeight="1" x14ac:dyDescent="0.2">
      <c r="A4" s="247" t="s">
        <v>64</v>
      </c>
      <c r="B4" s="187"/>
      <c r="C4" s="188"/>
      <c r="D4" s="187"/>
      <c r="E4" s="189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90" customFormat="1" ht="12.75" hidden="1" customHeight="1" x14ac:dyDescent="0.2">
      <c r="A5" s="248"/>
      <c r="B5" s="249"/>
      <c r="C5" s="250"/>
      <c r="D5" s="249"/>
      <c r="E5" s="251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90" customFormat="1" ht="15" customHeight="1" x14ac:dyDescent="0.2">
      <c r="A6" s="193" t="e">
        <f>#REF!</f>
        <v>#REF!</v>
      </c>
      <c r="B6" s="194">
        <v>10</v>
      </c>
      <c r="C6" s="195" t="s">
        <v>83</v>
      </c>
      <c r="D6" s="194">
        <v>6</v>
      </c>
      <c r="E6" s="196" t="e">
        <f>#REF!</f>
        <v>#REF!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190" customFormat="1" ht="15" customHeight="1" x14ac:dyDescent="0.2">
      <c r="A7" s="197" t="e">
        <f>#REF!</f>
        <v>#REF!</v>
      </c>
      <c r="B7" s="198">
        <v>6</v>
      </c>
      <c r="C7" s="199" t="s">
        <v>83</v>
      </c>
      <c r="D7" s="198">
        <v>4</v>
      </c>
      <c r="E7" s="200" t="e">
        <f>#REF!</f>
        <v>#REF!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s="190" customFormat="1" ht="12.75" customHeight="1" x14ac:dyDescent="0.2">
      <c r="A8" s="201"/>
      <c r="B8" s="202"/>
      <c r="C8" s="203"/>
      <c r="D8" s="202"/>
      <c r="E8" s="201"/>
      <c r="G8" s="240"/>
      <c r="H8" s="205"/>
      <c r="I8" s="398" t="s">
        <v>36</v>
      </c>
      <c r="J8" s="398" t="s">
        <v>11</v>
      </c>
      <c r="K8" s="398" t="s">
        <v>12</v>
      </c>
      <c r="L8" s="398" t="s">
        <v>13</v>
      </c>
      <c r="M8" s="398" t="s">
        <v>1</v>
      </c>
      <c r="N8" s="398" t="s">
        <v>14</v>
      </c>
      <c r="O8" s="398" t="s">
        <v>10</v>
      </c>
      <c r="P8" s="399" t="s">
        <v>84</v>
      </c>
    </row>
    <row r="9" spans="1:16" s="190" customFormat="1" ht="15" customHeight="1" x14ac:dyDescent="0.2">
      <c r="A9" s="201"/>
      <c r="B9" s="202"/>
      <c r="C9" s="203"/>
      <c r="D9" s="202"/>
      <c r="E9" s="201"/>
      <c r="G9" s="241"/>
      <c r="H9" s="207"/>
      <c r="I9" s="398"/>
      <c r="J9" s="398"/>
      <c r="K9" s="398"/>
      <c r="L9" s="398"/>
      <c r="M9" s="398"/>
      <c r="N9" s="398"/>
      <c r="O9" s="398"/>
      <c r="P9" s="399"/>
    </row>
    <row r="10" spans="1:16" s="190" customFormat="1" ht="15" customHeight="1" x14ac:dyDescent="0.2">
      <c r="A10" s="201"/>
      <c r="B10" s="202"/>
      <c r="C10" s="203"/>
      <c r="D10" s="202"/>
      <c r="E10" s="201"/>
      <c r="G10" s="208">
        <v>1</v>
      </c>
      <c r="H10" s="209" t="str">
        <f>VLOOKUP($G10,D!$L$2:$U$19,3,FALSE)</f>
        <v>ALPARSLAN İÖO</v>
      </c>
      <c r="I10" s="210">
        <f>VLOOKUP($G10,D!$L$2:$U$19,4,FALSE)</f>
        <v>0</v>
      </c>
      <c r="J10" s="210">
        <f>VLOOKUP($G10,D!$L$2:$U$19,5,FALSE)</f>
        <v>0</v>
      </c>
      <c r="K10" s="210">
        <f>VLOOKUP($G10,D!$L$2:$U$19,6,FALSE)</f>
        <v>0</v>
      </c>
      <c r="L10" s="210">
        <f>VLOOKUP($G10,D!$L$2:$U$19,7,FALSE)</f>
        <v>0</v>
      </c>
      <c r="M10" s="210">
        <f>VLOOKUP($G10,D!$L$2:$U$19,8,FALSE)</f>
        <v>0</v>
      </c>
      <c r="N10" s="210">
        <f>VLOOKUP($G10,D!$L$2:$U$19,9,FALSE)</f>
        <v>0</v>
      </c>
      <c r="O10" s="211">
        <f>VLOOKUP($G10,D!$L$2:$U$19,10,FALSE)</f>
        <v>0</v>
      </c>
      <c r="P10" s="212">
        <f>+M10-N10</f>
        <v>0</v>
      </c>
    </row>
    <row r="11" spans="1:16" s="190" customFormat="1" ht="15" customHeight="1" x14ac:dyDescent="0.2">
      <c r="A11" s="201"/>
      <c r="B11" s="202"/>
      <c r="C11" s="203"/>
      <c r="D11" s="202"/>
      <c r="E11" s="201"/>
      <c r="G11" s="208">
        <v>2</v>
      </c>
      <c r="H11" s="209" t="str">
        <f>VLOOKUP($G11,D!$L$2:$U$19,3,FALSE)</f>
        <v>BEDESTENLİOĞLU İÖO</v>
      </c>
      <c r="I11" s="210">
        <f>VLOOKUP($G11,D!$L$2:$U$19,4,FALSE)</f>
        <v>0</v>
      </c>
      <c r="J11" s="210">
        <f>VLOOKUP($G11,D!$L$2:$U$19,5,FALSE)</f>
        <v>0</v>
      </c>
      <c r="K11" s="210">
        <f>VLOOKUP($G11,D!$L$2:$U$19,6,FALSE)</f>
        <v>0</v>
      </c>
      <c r="L11" s="210">
        <f>VLOOKUP($G11,D!$L$2:$U$19,7,FALSE)</f>
        <v>0</v>
      </c>
      <c r="M11" s="210">
        <f>VLOOKUP($G11,D!$L$2:$U$19,8,FALSE)</f>
        <v>0</v>
      </c>
      <c r="N11" s="210">
        <f>VLOOKUP($G11,D!$L$2:$U$19,9,FALSE)</f>
        <v>0</v>
      </c>
      <c r="O11" s="211">
        <f>VLOOKUP($G11,D!$L$2:$U$19,10,FALSE)</f>
        <v>0</v>
      </c>
      <c r="P11" s="212">
        <f>+M11-N11</f>
        <v>0</v>
      </c>
    </row>
    <row r="12" spans="1:16" s="190" customFormat="1" ht="15" customHeight="1" x14ac:dyDescent="0.2">
      <c r="A12" s="201"/>
      <c r="B12" s="202"/>
      <c r="C12" s="203"/>
      <c r="D12" s="202"/>
      <c r="E12" s="201"/>
      <c r="G12" s="208">
        <v>3</v>
      </c>
      <c r="H12" s="209" t="str">
        <f>VLOOKUP($G12,D!$L$2:$U$19,3,FALSE)</f>
        <v>ÇERÇİ İÖO</v>
      </c>
      <c r="I12" s="210">
        <f>VLOOKUP($G12,D!$L$2:$U$19,4,FALSE)</f>
        <v>0</v>
      </c>
      <c r="J12" s="210">
        <f>VLOOKUP($G12,D!$L$2:$U$19,5,FALSE)</f>
        <v>0</v>
      </c>
      <c r="K12" s="210">
        <f>VLOOKUP($G12,D!$L$2:$U$19,6,FALSE)</f>
        <v>0</v>
      </c>
      <c r="L12" s="210">
        <f>VLOOKUP($G12,D!$L$2:$U$19,7,FALSE)</f>
        <v>0</v>
      </c>
      <c r="M12" s="210">
        <f>VLOOKUP($G12,D!$L$2:$U$19,8,FALSE)</f>
        <v>0</v>
      </c>
      <c r="N12" s="210">
        <f>VLOOKUP($G12,D!$L$2:$U$19,9,FALSE)</f>
        <v>0</v>
      </c>
      <c r="O12" s="211">
        <f>VLOOKUP($G12,D!$L$2:$U$19,10,FALSE)</f>
        <v>0</v>
      </c>
      <c r="P12" s="212">
        <f>+M12-N12</f>
        <v>0</v>
      </c>
    </row>
    <row r="13" spans="1:16" s="190" customFormat="1" ht="15" customHeight="1" x14ac:dyDescent="0.2">
      <c r="A13" s="201"/>
      <c r="B13" s="202"/>
      <c r="C13" s="203"/>
      <c r="D13" s="202"/>
      <c r="E13" s="201"/>
      <c r="G13" s="213">
        <v>4</v>
      </c>
      <c r="H13" s="214" t="str">
        <f>VLOOKUP($G13,D!$L$2:$U$19,3,FALSE)</f>
        <v>BİLİM SANAT MERKEZİ</v>
      </c>
      <c r="I13" s="215">
        <f>VLOOKUP($G13,D!$L$2:$U$19,4,FALSE)</f>
        <v>0</v>
      </c>
      <c r="J13" s="215">
        <f>VLOOKUP($G13,D!$L$2:$U$19,5,FALSE)</f>
        <v>0</v>
      </c>
      <c r="K13" s="215">
        <f>VLOOKUP($G13,D!$L$2:$U$19,6,FALSE)</f>
        <v>0</v>
      </c>
      <c r="L13" s="215">
        <f>VLOOKUP($G13,D!$L$2:$U$19,7,FALSE)</f>
        <v>0</v>
      </c>
      <c r="M13" s="215">
        <f>VLOOKUP($G13,D!$L$2:$U$19,8,FALSE)</f>
        <v>0</v>
      </c>
      <c r="N13" s="215">
        <f>VLOOKUP($G13,D!$L$2:$U$19,9,FALSE)</f>
        <v>0</v>
      </c>
      <c r="O13" s="216">
        <f>VLOOKUP($G13,D!$L$2:$U$19,10,FALSE)</f>
        <v>0</v>
      </c>
      <c r="P13" s="217">
        <f>+M13-N13</f>
        <v>0</v>
      </c>
    </row>
    <row r="14" spans="1:16" s="190" customFormat="1" ht="19.5" hidden="1" customHeight="1" x14ac:dyDescent="0.2">
      <c r="A14" s="201"/>
      <c r="B14" s="202"/>
      <c r="C14" s="203"/>
      <c r="D14" s="202"/>
      <c r="E14" s="201"/>
      <c r="G14" s="245"/>
      <c r="H14" s="219"/>
      <c r="I14" s="219"/>
      <c r="J14" s="219"/>
      <c r="K14" s="219"/>
      <c r="L14" s="219"/>
      <c r="M14" s="219"/>
      <c r="N14" s="219"/>
      <c r="O14" s="220"/>
      <c r="P14" s="221"/>
    </row>
    <row r="15" spans="1:16" s="190" customFormat="1" ht="12.75" customHeight="1" x14ac:dyDescent="0.2">
      <c r="A15" s="222"/>
      <c r="B15" s="222"/>
      <c r="C15" s="223"/>
      <c r="D15" s="222"/>
      <c r="E15" s="222"/>
      <c r="G15" s="245"/>
      <c r="H15" s="219"/>
      <c r="I15" s="219"/>
      <c r="J15" s="219"/>
      <c r="K15" s="219"/>
      <c r="L15" s="219"/>
      <c r="M15" s="219"/>
      <c r="N15" s="219"/>
      <c r="O15" s="220"/>
      <c r="P15" s="221"/>
    </row>
    <row r="16" spans="1:16" s="190" customFormat="1" ht="12.75" customHeight="1" x14ac:dyDescent="0.2">
      <c r="A16" s="186" t="s">
        <v>66</v>
      </c>
      <c r="B16" s="187"/>
      <c r="C16" s="188"/>
      <c r="D16" s="187"/>
      <c r="E16" s="189"/>
      <c r="G16" s="245"/>
      <c r="H16" s="219"/>
      <c r="I16" s="219"/>
      <c r="J16" s="219"/>
      <c r="K16" s="219"/>
      <c r="L16" s="219"/>
      <c r="M16" s="219"/>
      <c r="N16" s="219"/>
      <c r="O16" s="220"/>
      <c r="P16" s="221"/>
    </row>
    <row r="17" spans="1:16" s="190" customFormat="1" ht="15" customHeight="1" x14ac:dyDescent="0.2">
      <c r="A17" s="193" t="e">
        <f>A6</f>
        <v>#REF!</v>
      </c>
      <c r="B17" s="194">
        <v>9</v>
      </c>
      <c r="C17" s="195" t="s">
        <v>83</v>
      </c>
      <c r="D17" s="194">
        <v>5</v>
      </c>
      <c r="E17" s="196" t="e">
        <f>A7</f>
        <v>#REF!</v>
      </c>
      <c r="G17" s="245"/>
      <c r="H17" s="219"/>
      <c r="N17" s="219"/>
      <c r="O17" s="220"/>
      <c r="P17" s="221"/>
    </row>
    <row r="18" spans="1:16" s="190" customFormat="1" ht="15" customHeight="1" x14ac:dyDescent="0.2">
      <c r="A18" s="197" t="e">
        <f>E6</f>
        <v>#REF!</v>
      </c>
      <c r="B18" s="198">
        <v>5</v>
      </c>
      <c r="C18" s="199" t="s">
        <v>83</v>
      </c>
      <c r="D18" s="198">
        <v>8</v>
      </c>
      <c r="E18" s="200" t="e">
        <f>E7</f>
        <v>#REF!</v>
      </c>
      <c r="G18" s="245"/>
      <c r="H18" s="219"/>
      <c r="I18" s="394" t="s">
        <v>0</v>
      </c>
      <c r="J18" s="394"/>
      <c r="K18" s="394"/>
      <c r="L18" s="394"/>
      <c r="M18" s="394"/>
      <c r="N18" s="219"/>
      <c r="O18" s="220"/>
      <c r="P18" s="221"/>
    </row>
    <row r="19" spans="1:16" s="190" customFormat="1" ht="12.75" hidden="1" customHeight="1" x14ac:dyDescent="0.2">
      <c r="A19" s="201"/>
      <c r="B19" s="202"/>
      <c r="C19" s="203"/>
      <c r="D19" s="202"/>
      <c r="E19" s="201"/>
      <c r="G19" s="245"/>
      <c r="H19" s="219"/>
      <c r="I19" s="252" t="s">
        <v>46</v>
      </c>
      <c r="J19" s="253"/>
      <c r="K19" s="253"/>
      <c r="L19" s="253"/>
      <c r="M19" s="254"/>
      <c r="N19" s="219"/>
      <c r="O19" s="220"/>
      <c r="P19" s="221"/>
    </row>
    <row r="20" spans="1:16" s="190" customFormat="1" ht="12.75" hidden="1" customHeight="1" x14ac:dyDescent="0.2">
      <c r="A20" s="201"/>
      <c r="B20" s="202"/>
      <c r="C20" s="203"/>
      <c r="D20" s="202"/>
      <c r="E20" s="201"/>
      <c r="G20" s="245"/>
      <c r="H20" s="219"/>
      <c r="I20" s="255"/>
      <c r="J20" s="256"/>
      <c r="K20" s="256"/>
      <c r="L20" s="256"/>
      <c r="M20" s="257"/>
      <c r="N20" s="219"/>
      <c r="O20" s="220"/>
      <c r="P20" s="221"/>
    </row>
    <row r="21" spans="1:16" s="190" customFormat="1" ht="13.5" hidden="1" customHeight="1" x14ac:dyDescent="0.2">
      <c r="A21" s="201"/>
      <c r="B21" s="202"/>
      <c r="C21" s="203"/>
      <c r="D21" s="202"/>
      <c r="E21" s="201"/>
      <c r="G21" s="245"/>
      <c r="H21" s="219"/>
      <c r="I21" s="255"/>
      <c r="J21" s="256"/>
      <c r="K21" s="256"/>
      <c r="L21" s="256"/>
      <c r="M21" s="257"/>
      <c r="N21" s="219"/>
      <c r="O21" s="220"/>
      <c r="P21" s="221"/>
    </row>
    <row r="22" spans="1:16" s="190" customFormat="1" ht="12.75" hidden="1" customHeight="1" x14ac:dyDescent="0.2">
      <c r="A22" s="201"/>
      <c r="B22" s="202"/>
      <c r="C22" s="203"/>
      <c r="D22" s="202"/>
      <c r="E22" s="201"/>
      <c r="G22" s="245"/>
      <c r="H22" s="219"/>
      <c r="I22" s="255"/>
      <c r="J22" s="256"/>
      <c r="K22" s="256"/>
      <c r="L22" s="256"/>
      <c r="M22" s="257"/>
      <c r="N22" s="219"/>
      <c r="O22" s="220"/>
      <c r="P22" s="221"/>
    </row>
    <row r="23" spans="1:16" s="190" customFormat="1" ht="12.75" hidden="1" customHeight="1" x14ac:dyDescent="0.2">
      <c r="A23" s="201"/>
      <c r="B23" s="202"/>
      <c r="C23" s="203"/>
      <c r="D23" s="202"/>
      <c r="E23" s="201"/>
      <c r="G23" s="245"/>
      <c r="H23" s="219"/>
      <c r="I23" s="255"/>
      <c r="J23" s="256"/>
      <c r="K23" s="256"/>
      <c r="L23" s="256"/>
      <c r="M23" s="257"/>
      <c r="N23" s="219"/>
      <c r="O23" s="220"/>
      <c r="P23" s="221"/>
    </row>
    <row r="24" spans="1:16" s="190" customFormat="1" ht="12.75" hidden="1" customHeight="1" x14ac:dyDescent="0.2">
      <c r="A24" s="201"/>
      <c r="B24" s="202"/>
      <c r="C24" s="203"/>
      <c r="D24" s="202"/>
      <c r="E24" s="201"/>
      <c r="G24" s="245"/>
      <c r="H24" s="219"/>
      <c r="I24" s="255"/>
      <c r="J24" s="256"/>
      <c r="K24" s="256"/>
      <c r="L24" s="256"/>
      <c r="M24" s="257"/>
      <c r="N24" s="219"/>
      <c r="O24" s="220"/>
      <c r="P24" s="221"/>
    </row>
    <row r="25" spans="1:16" s="190" customFormat="1" ht="12.75" hidden="1" customHeight="1" x14ac:dyDescent="0.2">
      <c r="A25" s="201"/>
      <c r="B25" s="202"/>
      <c r="C25" s="203"/>
      <c r="D25" s="202"/>
      <c r="E25" s="201"/>
      <c r="G25" s="245"/>
      <c r="H25" s="219"/>
      <c r="I25" s="255"/>
      <c r="J25" s="256"/>
      <c r="K25" s="256"/>
      <c r="L25" s="256"/>
      <c r="M25" s="257"/>
      <c r="N25" s="219"/>
      <c r="O25" s="220"/>
      <c r="P25" s="221"/>
    </row>
    <row r="26" spans="1:16" s="190" customFormat="1" ht="12.75" customHeight="1" x14ac:dyDescent="0.2">
      <c r="A26" s="222"/>
      <c r="B26" s="222"/>
      <c r="C26" s="223"/>
      <c r="D26" s="222"/>
      <c r="E26" s="222"/>
      <c r="G26" s="245"/>
      <c r="H26" s="219"/>
      <c r="I26" s="400" t="s">
        <v>46</v>
      </c>
      <c r="J26" s="400"/>
      <c r="K26" s="400"/>
      <c r="L26" s="400"/>
      <c r="M26" s="400"/>
      <c r="N26" s="219"/>
      <c r="O26" s="220"/>
      <c r="P26" s="221"/>
    </row>
    <row r="27" spans="1:16" s="190" customFormat="1" ht="12.75" customHeight="1" x14ac:dyDescent="0.2">
      <c r="A27" s="186" t="s">
        <v>67</v>
      </c>
      <c r="B27" s="187"/>
      <c r="C27" s="188"/>
      <c r="D27" s="187"/>
      <c r="E27" s="189"/>
      <c r="G27" s="245"/>
      <c r="H27" s="219"/>
      <c r="I27" s="400"/>
      <c r="J27" s="400"/>
      <c r="K27" s="400"/>
      <c r="L27" s="400"/>
      <c r="M27" s="400"/>
      <c r="N27" s="219"/>
      <c r="O27" s="220"/>
      <c r="P27" s="221"/>
    </row>
    <row r="28" spans="1:16" s="190" customFormat="1" ht="15" customHeight="1" x14ac:dyDescent="0.2">
      <c r="A28" s="224" t="e">
        <f>A17</f>
        <v>#REF!</v>
      </c>
      <c r="B28" s="202"/>
      <c r="C28" s="195" t="s">
        <v>83</v>
      </c>
      <c r="D28" s="202"/>
      <c r="E28" s="225" t="e">
        <f>E18</f>
        <v>#REF!</v>
      </c>
      <c r="G28" s="246"/>
      <c r="H28" s="226"/>
      <c r="I28" s="400"/>
      <c r="J28" s="400"/>
      <c r="K28" s="400"/>
      <c r="L28" s="400"/>
      <c r="M28" s="400"/>
      <c r="N28" s="226"/>
      <c r="O28" s="226"/>
      <c r="P28" s="226"/>
    </row>
    <row r="29" spans="1:16" s="190" customFormat="1" ht="15" customHeight="1" x14ac:dyDescent="0.2">
      <c r="A29" s="227" t="e">
        <f>E6</f>
        <v>#REF!</v>
      </c>
      <c r="B29" s="228"/>
      <c r="C29" s="199" t="s">
        <v>83</v>
      </c>
      <c r="D29" s="228"/>
      <c r="E29" s="229" t="e">
        <f>E17</f>
        <v>#REF!</v>
      </c>
      <c r="G29" s="192"/>
      <c r="H29" s="192"/>
      <c r="I29" s="400"/>
      <c r="J29" s="400"/>
      <c r="K29" s="400"/>
      <c r="L29" s="400"/>
      <c r="M29" s="400"/>
      <c r="N29" s="192"/>
      <c r="O29" s="192"/>
      <c r="P29" s="192"/>
    </row>
    <row r="30" spans="1:16" ht="12.75" customHeight="1" x14ac:dyDescent="0.25">
      <c r="A30" s="258"/>
      <c r="B30" s="259"/>
      <c r="C30" s="260"/>
      <c r="D30" s="261"/>
      <c r="E30" s="262"/>
      <c r="G30" s="263"/>
      <c r="H30" s="263"/>
      <c r="I30" s="400"/>
      <c r="J30" s="400"/>
      <c r="K30" s="400"/>
      <c r="L30" s="400"/>
      <c r="M30" s="400"/>
      <c r="N30" s="263"/>
      <c r="O30" s="263"/>
      <c r="P30" s="263"/>
    </row>
  </sheetData>
  <sheetProtection selectLockedCells="1" selectUnlockedCells="1"/>
  <mergeCells count="12">
    <mergeCell ref="I18:M18"/>
    <mergeCell ref="I26:M30"/>
    <mergeCell ref="A1:P1"/>
    <mergeCell ref="A2:P2"/>
    <mergeCell ref="I8:I9"/>
    <mergeCell ref="J8:J9"/>
    <mergeCell ref="K8:K9"/>
    <mergeCell ref="L8:L9"/>
    <mergeCell ref="M8:M9"/>
    <mergeCell ref="N8:N9"/>
    <mergeCell ref="O8:O9"/>
    <mergeCell ref="P8:P9"/>
  </mergeCells>
  <conditionalFormatting sqref="A6:A7 E6:E7 A17:A18 E17:E18">
    <cfRule type="cellIs" dxfId="2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indexed="17"/>
    <pageSetUpPr fitToPage="1"/>
  </sheetPr>
  <dimension ref="A1:P29"/>
  <sheetViews>
    <sheetView view="pageBreakPreview" zoomScale="50" zoomScaleSheetLayoutView="50" workbookViewId="0">
      <selection activeCell="C30" sqref="C30"/>
    </sheetView>
  </sheetViews>
  <sheetFormatPr defaultColWidth="9.140625" defaultRowHeight="18" x14ac:dyDescent="0.25"/>
  <cols>
    <col min="1" max="1" width="19.85546875" style="178" customWidth="1"/>
    <col min="2" max="2" width="4.7109375" style="179" customWidth="1"/>
    <col min="3" max="3" width="2.85546875" style="180" customWidth="1"/>
    <col min="4" max="4" width="4.7109375" style="181" customWidth="1"/>
    <col min="5" max="5" width="21.42578125" style="178" customWidth="1"/>
    <col min="6" max="6" width="2.5703125" style="178" customWidth="1"/>
    <col min="7" max="7" width="5.5703125" style="178" customWidth="1"/>
    <col min="8" max="8" width="16.85546875" style="178" customWidth="1"/>
    <col min="9" max="16" width="4.7109375" style="178" customWidth="1"/>
    <col min="17" max="16384" width="9.140625" style="178"/>
  </cols>
  <sheetData>
    <row r="1" spans="1:16" ht="59.25" customHeight="1" x14ac:dyDescent="0.35">
      <c r="A1" s="396" t="s">
        <v>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30" x14ac:dyDescent="0.4">
      <c r="A2" s="397" t="s">
        <v>87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1.25" customHeight="1" x14ac:dyDescent="0.4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190" customFormat="1" ht="12.75" customHeight="1" x14ac:dyDescent="0.2">
      <c r="A4" s="186" t="s">
        <v>64</v>
      </c>
      <c r="B4" s="187"/>
      <c r="C4" s="188"/>
      <c r="D4" s="187"/>
      <c r="E4" s="189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90" customFormat="1" ht="15" customHeight="1" x14ac:dyDescent="0.2">
      <c r="A5" s="193" t="e">
        <f>#REF!</f>
        <v>#REF!</v>
      </c>
      <c r="B5" s="194">
        <v>1</v>
      </c>
      <c r="C5" s="195" t="s">
        <v>83</v>
      </c>
      <c r="D5" s="194">
        <v>7</v>
      </c>
      <c r="E5" s="196" t="e">
        <f>#REF!</f>
        <v>#REF!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190" customFormat="1" ht="15" customHeight="1" x14ac:dyDescent="0.2">
      <c r="A6" s="197" t="e">
        <f>#REF!</f>
        <v>#REF!</v>
      </c>
      <c r="B6" s="198">
        <v>7</v>
      </c>
      <c r="C6" s="199" t="s">
        <v>83</v>
      </c>
      <c r="D6" s="198">
        <v>2</v>
      </c>
      <c r="E6" s="200" t="e">
        <f>#REF!</f>
        <v>#REF!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190" customFormat="1" ht="12.75" customHeight="1" x14ac:dyDescent="0.2">
      <c r="A7" s="201"/>
      <c r="B7" s="202"/>
      <c r="C7" s="203"/>
      <c r="D7" s="202"/>
      <c r="E7" s="201"/>
      <c r="G7" s="240"/>
      <c r="H7" s="205"/>
      <c r="I7" s="398" t="s">
        <v>36</v>
      </c>
      <c r="J7" s="398" t="s">
        <v>11</v>
      </c>
      <c r="K7" s="398" t="s">
        <v>12</v>
      </c>
      <c r="L7" s="398" t="s">
        <v>13</v>
      </c>
      <c r="M7" s="398" t="s">
        <v>1</v>
      </c>
      <c r="N7" s="398" t="s">
        <v>14</v>
      </c>
      <c r="O7" s="398" t="s">
        <v>10</v>
      </c>
      <c r="P7" s="399" t="s">
        <v>84</v>
      </c>
    </row>
    <row r="8" spans="1:16" s="190" customFormat="1" ht="15" customHeight="1" x14ac:dyDescent="0.2">
      <c r="A8" s="201"/>
      <c r="B8" s="202"/>
      <c r="C8" s="203"/>
      <c r="D8" s="202"/>
      <c r="E8" s="201"/>
      <c r="G8" s="241"/>
      <c r="H8" s="207"/>
      <c r="I8" s="398"/>
      <c r="J8" s="398"/>
      <c r="K8" s="398"/>
      <c r="L8" s="398"/>
      <c r="M8" s="398"/>
      <c r="N8" s="398"/>
      <c r="O8" s="398"/>
      <c r="P8" s="399"/>
    </row>
    <row r="9" spans="1:16" s="190" customFormat="1" ht="15" customHeight="1" x14ac:dyDescent="0.2">
      <c r="A9" s="201"/>
      <c r="B9" s="202"/>
      <c r="C9" s="203"/>
      <c r="D9" s="202"/>
      <c r="E9" s="201"/>
      <c r="G9" s="208">
        <v>1</v>
      </c>
      <c r="H9" s="209" t="str">
        <f>VLOOKUP($G9,E!$L$2:$U$19,3,FALSE)</f>
        <v>100. YIL  İÖO</v>
      </c>
      <c r="I9" s="210">
        <f>VLOOKUP($G9,E!$L$2:$U$19,4,FALSE)</f>
        <v>0</v>
      </c>
      <c r="J9" s="210">
        <f>VLOOKUP($G9,E!$L$2:$U$19,5,FALSE)</f>
        <v>0</v>
      </c>
      <c r="K9" s="210">
        <f>VLOOKUP($G9,E!$L$2:$U$19,6,FALSE)</f>
        <v>0</v>
      </c>
      <c r="L9" s="210">
        <f>VLOOKUP($G9,E!$L$2:$U$19,7,FALSE)</f>
        <v>0</v>
      </c>
      <c r="M9" s="210">
        <f>VLOOKUP($G9,E!$L$2:$U$19,8,FALSE)</f>
        <v>0</v>
      </c>
      <c r="N9" s="210">
        <f>VLOOKUP($G9,E!$L$2:$U$19,9,FALSE)</f>
        <v>0</v>
      </c>
      <c r="O9" s="211">
        <f>VLOOKUP($G9,E!$L$2:$U$19,10,FALSE)</f>
        <v>0</v>
      </c>
      <c r="P9" s="212">
        <f>+M9-N9</f>
        <v>0</v>
      </c>
    </row>
    <row r="10" spans="1:16" s="190" customFormat="1" ht="15" customHeight="1" x14ac:dyDescent="0.2">
      <c r="A10" s="201"/>
      <c r="B10" s="202"/>
      <c r="C10" s="203"/>
      <c r="D10" s="202"/>
      <c r="E10" s="201"/>
      <c r="G10" s="208">
        <v>2</v>
      </c>
      <c r="H10" s="209" t="str">
        <f>VLOOKUP($G10,E!$L$2:$U$19,3,FALSE)</f>
        <v>YAVUZ SELİM İÖO</v>
      </c>
      <c r="I10" s="210">
        <f>VLOOKUP($G10,E!$L$2:$U$19,4,FALSE)</f>
        <v>0</v>
      </c>
      <c r="J10" s="210">
        <f>VLOOKUP($G10,E!$L$2:$U$19,5,FALSE)</f>
        <v>0</v>
      </c>
      <c r="K10" s="210">
        <f>VLOOKUP($G10,E!$L$2:$U$19,6,FALSE)</f>
        <v>0</v>
      </c>
      <c r="L10" s="210">
        <f>VLOOKUP($G10,E!$L$2:$U$19,7,FALSE)</f>
        <v>0</v>
      </c>
      <c r="M10" s="210">
        <f>VLOOKUP($G10,E!$L$2:$U$19,8,FALSE)</f>
        <v>0</v>
      </c>
      <c r="N10" s="210">
        <f>VLOOKUP($G10,E!$L$2:$U$19,9,FALSE)</f>
        <v>0</v>
      </c>
      <c r="O10" s="211">
        <f>VLOOKUP($G10,E!$L$2:$U$19,10,FALSE)</f>
        <v>0</v>
      </c>
      <c r="P10" s="212">
        <f>+M10-N10</f>
        <v>0</v>
      </c>
    </row>
    <row r="11" spans="1:16" s="190" customFormat="1" ht="15" customHeight="1" x14ac:dyDescent="0.2">
      <c r="A11" s="201"/>
      <c r="B11" s="202"/>
      <c r="C11" s="203"/>
      <c r="D11" s="202"/>
      <c r="E11" s="201"/>
      <c r="G11" s="208">
        <v>3</v>
      </c>
      <c r="H11" s="209" t="str">
        <f>VLOOKUP($G11,E!$L$2:$U$19,3,FALSE)</f>
        <v>NAMIK KEMAL İÖO</v>
      </c>
      <c r="I11" s="210">
        <f>VLOOKUP($G11,E!$L$2:$U$19,4,FALSE)</f>
        <v>0</v>
      </c>
      <c r="J11" s="210">
        <f>VLOOKUP($G11,E!$L$2:$U$19,5,FALSE)</f>
        <v>0</v>
      </c>
      <c r="K11" s="210">
        <f>VLOOKUP($G11,E!$L$2:$U$19,6,FALSE)</f>
        <v>0</v>
      </c>
      <c r="L11" s="210">
        <f>VLOOKUP($G11,E!$L$2:$U$19,7,FALSE)</f>
        <v>0</v>
      </c>
      <c r="M11" s="210">
        <f>VLOOKUP($G11,E!$L$2:$U$19,8,FALSE)</f>
        <v>0</v>
      </c>
      <c r="N11" s="210">
        <f>VLOOKUP($G11,E!$L$2:$U$19,9,FALSE)</f>
        <v>0</v>
      </c>
      <c r="O11" s="211">
        <f>VLOOKUP($G11,E!$L$2:$U$19,10,FALSE)</f>
        <v>0</v>
      </c>
      <c r="P11" s="212">
        <f>+M11-N11</f>
        <v>0</v>
      </c>
    </row>
    <row r="12" spans="1:16" s="190" customFormat="1" ht="15" customHeight="1" x14ac:dyDescent="0.2">
      <c r="A12" s="201"/>
      <c r="B12" s="202"/>
      <c r="C12" s="203"/>
      <c r="D12" s="202"/>
      <c r="E12" s="201"/>
      <c r="G12" s="213">
        <v>4</v>
      </c>
      <c r="H12" s="214" t="str">
        <f>VLOOKUP($G12,E!$L$2:$U$19,3,FALSE)</f>
        <v>MİLLİ EĞT. MÜD.</v>
      </c>
      <c r="I12" s="215">
        <f>VLOOKUP($G12,E!$L$2:$U$19,4,FALSE)</f>
        <v>0</v>
      </c>
      <c r="J12" s="215">
        <f>VLOOKUP($G12,E!$L$2:$U$19,5,FALSE)</f>
        <v>0</v>
      </c>
      <c r="K12" s="215">
        <f>VLOOKUP($G12,E!$L$2:$U$19,6,FALSE)</f>
        <v>0</v>
      </c>
      <c r="L12" s="215">
        <f>VLOOKUP($G12,E!$L$2:$U$19,7,FALSE)</f>
        <v>0</v>
      </c>
      <c r="M12" s="215">
        <f>VLOOKUP($G12,E!$L$2:$U$19,8,FALSE)</f>
        <v>0</v>
      </c>
      <c r="N12" s="215">
        <f>VLOOKUP($G12,E!$L$2:$U$19,9,FALSE)</f>
        <v>0</v>
      </c>
      <c r="O12" s="216">
        <f>VLOOKUP($G12,E!$L$2:$U$19,10,FALSE)</f>
        <v>0</v>
      </c>
      <c r="P12" s="217">
        <f>+M12-N12</f>
        <v>0</v>
      </c>
    </row>
    <row r="13" spans="1:16" s="190" customFormat="1" ht="19.5" hidden="1" customHeight="1" x14ac:dyDescent="0.2">
      <c r="A13" s="201"/>
      <c r="B13" s="202"/>
      <c r="C13" s="203"/>
      <c r="D13" s="202"/>
      <c r="E13" s="201"/>
      <c r="G13" s="245"/>
      <c r="H13" s="219"/>
      <c r="I13" s="219"/>
      <c r="J13" s="219"/>
      <c r="K13" s="219"/>
      <c r="L13" s="219"/>
      <c r="M13" s="219"/>
      <c r="N13" s="219"/>
      <c r="O13" s="220"/>
      <c r="P13" s="221"/>
    </row>
    <row r="14" spans="1:16" s="190" customFormat="1" ht="12.75" customHeight="1" x14ac:dyDescent="0.2">
      <c r="A14" s="222"/>
      <c r="B14" s="222"/>
      <c r="C14" s="223"/>
      <c r="D14" s="222"/>
      <c r="E14" s="222"/>
      <c r="G14" s="245"/>
      <c r="H14" s="219"/>
      <c r="I14" s="219"/>
      <c r="J14" s="219"/>
      <c r="K14" s="219"/>
      <c r="L14" s="219"/>
      <c r="M14" s="219"/>
      <c r="N14" s="219"/>
      <c r="O14" s="220"/>
      <c r="P14" s="221"/>
    </row>
    <row r="15" spans="1:16" s="190" customFormat="1" ht="12.75" customHeight="1" x14ac:dyDescent="0.2">
      <c r="A15" s="186" t="s">
        <v>66</v>
      </c>
      <c r="B15" s="187"/>
      <c r="C15" s="188"/>
      <c r="D15" s="187"/>
      <c r="E15" s="189"/>
      <c r="G15" s="245"/>
      <c r="H15" s="219"/>
      <c r="I15" s="219"/>
      <c r="J15" s="219"/>
      <c r="K15" s="219"/>
      <c r="L15" s="219"/>
      <c r="M15" s="219"/>
      <c r="N15" s="219"/>
      <c r="O15" s="220"/>
      <c r="P15" s="221"/>
    </row>
    <row r="16" spans="1:16" s="190" customFormat="1" ht="15" customHeight="1" x14ac:dyDescent="0.2">
      <c r="A16" s="193" t="e">
        <f>A5</f>
        <v>#REF!</v>
      </c>
      <c r="B16" s="194">
        <v>5</v>
      </c>
      <c r="C16" s="195" t="s">
        <v>83</v>
      </c>
      <c r="D16" s="194">
        <v>2</v>
      </c>
      <c r="E16" s="196" t="e">
        <f>A6</f>
        <v>#REF!</v>
      </c>
      <c r="G16" s="245"/>
      <c r="H16" s="219"/>
      <c r="I16" s="219"/>
      <c r="J16" s="219"/>
      <c r="K16" s="219"/>
      <c r="L16" s="219"/>
      <c r="M16" s="219"/>
      <c r="N16" s="219"/>
      <c r="O16" s="220"/>
      <c r="P16" s="221"/>
    </row>
    <row r="17" spans="1:16" s="190" customFormat="1" ht="15" customHeight="1" x14ac:dyDescent="0.2">
      <c r="A17" s="197" t="e">
        <f>E5</f>
        <v>#REF!</v>
      </c>
      <c r="B17" s="198">
        <v>6</v>
      </c>
      <c r="C17" s="199" t="s">
        <v>83</v>
      </c>
      <c r="D17" s="198">
        <v>1</v>
      </c>
      <c r="E17" s="200" t="e">
        <f>E6</f>
        <v>#REF!</v>
      </c>
      <c r="G17" s="245"/>
      <c r="H17" s="219"/>
      <c r="I17" s="394" t="s">
        <v>0</v>
      </c>
      <c r="J17" s="394"/>
      <c r="K17" s="394"/>
      <c r="L17" s="394"/>
      <c r="M17" s="394"/>
      <c r="N17" s="219"/>
      <c r="O17" s="220"/>
      <c r="P17" s="221"/>
    </row>
    <row r="18" spans="1:16" s="190" customFormat="1" ht="12.75" hidden="1" customHeight="1" x14ac:dyDescent="0.2">
      <c r="A18" s="201"/>
      <c r="B18" s="202"/>
      <c r="C18" s="203"/>
      <c r="D18" s="202"/>
      <c r="E18" s="201"/>
      <c r="G18" s="245"/>
      <c r="H18" s="219"/>
      <c r="I18" s="395" t="s">
        <v>41</v>
      </c>
      <c r="J18" s="395"/>
      <c r="K18" s="395"/>
      <c r="L18" s="395"/>
      <c r="M18" s="395"/>
      <c r="N18" s="219"/>
      <c r="O18" s="220"/>
      <c r="P18" s="221"/>
    </row>
    <row r="19" spans="1:16" s="190" customFormat="1" ht="12.75" hidden="1" customHeight="1" x14ac:dyDescent="0.2">
      <c r="A19" s="201"/>
      <c r="B19" s="202"/>
      <c r="C19" s="203"/>
      <c r="D19" s="202"/>
      <c r="E19" s="201"/>
      <c r="G19" s="245"/>
      <c r="H19" s="219"/>
      <c r="I19" s="395"/>
      <c r="J19" s="395"/>
      <c r="K19" s="395"/>
      <c r="L19" s="395"/>
      <c r="M19" s="395"/>
      <c r="N19" s="219"/>
      <c r="O19" s="220"/>
      <c r="P19" s="221"/>
    </row>
    <row r="20" spans="1:16" s="190" customFormat="1" ht="13.5" hidden="1" customHeight="1" x14ac:dyDescent="0.2">
      <c r="A20" s="201"/>
      <c r="B20" s="202"/>
      <c r="C20" s="203"/>
      <c r="D20" s="202"/>
      <c r="E20" s="201"/>
      <c r="G20" s="245"/>
      <c r="H20" s="219"/>
      <c r="I20" s="395"/>
      <c r="J20" s="395"/>
      <c r="K20" s="395"/>
      <c r="L20" s="395"/>
      <c r="M20" s="395"/>
      <c r="N20" s="219"/>
      <c r="O20" s="220"/>
      <c r="P20" s="221"/>
    </row>
    <row r="21" spans="1:16" s="190" customFormat="1" ht="12.75" hidden="1" customHeight="1" x14ac:dyDescent="0.2">
      <c r="A21" s="201"/>
      <c r="B21" s="202"/>
      <c r="C21" s="203"/>
      <c r="D21" s="202"/>
      <c r="E21" s="201"/>
      <c r="G21" s="245"/>
      <c r="H21" s="219"/>
      <c r="I21" s="395"/>
      <c r="J21" s="395"/>
      <c r="K21" s="395"/>
      <c r="L21" s="395"/>
      <c r="M21" s="395"/>
      <c r="N21" s="219"/>
      <c r="O21" s="220"/>
      <c r="P21" s="221"/>
    </row>
    <row r="22" spans="1:16" s="190" customFormat="1" ht="12.75" hidden="1" customHeight="1" x14ac:dyDescent="0.2">
      <c r="A22" s="201"/>
      <c r="B22" s="202"/>
      <c r="C22" s="203"/>
      <c r="D22" s="202"/>
      <c r="E22" s="201"/>
      <c r="G22" s="245"/>
      <c r="H22" s="219"/>
      <c r="I22" s="395"/>
      <c r="J22" s="395"/>
      <c r="K22" s="395"/>
      <c r="L22" s="395"/>
      <c r="M22" s="395"/>
      <c r="N22" s="219"/>
      <c r="O22" s="220"/>
      <c r="P22" s="221"/>
    </row>
    <row r="23" spans="1:16" s="190" customFormat="1" ht="12.75" hidden="1" customHeight="1" x14ac:dyDescent="0.2">
      <c r="A23" s="201"/>
      <c r="B23" s="202"/>
      <c r="C23" s="203"/>
      <c r="D23" s="202"/>
      <c r="E23" s="201"/>
      <c r="G23" s="245"/>
      <c r="H23" s="219"/>
      <c r="I23" s="395"/>
      <c r="J23" s="395"/>
      <c r="K23" s="395"/>
      <c r="L23" s="395"/>
      <c r="M23" s="395"/>
      <c r="N23" s="219"/>
      <c r="O23" s="220"/>
      <c r="P23" s="221"/>
    </row>
    <row r="24" spans="1:16" s="190" customFormat="1" ht="12.75" hidden="1" customHeight="1" x14ac:dyDescent="0.2">
      <c r="A24" s="201"/>
      <c r="B24" s="202"/>
      <c r="C24" s="203"/>
      <c r="D24" s="202"/>
      <c r="E24" s="201"/>
      <c r="G24" s="245"/>
      <c r="H24" s="219"/>
      <c r="I24" s="395"/>
      <c r="J24" s="395"/>
      <c r="K24" s="395"/>
      <c r="L24" s="395"/>
      <c r="M24" s="395"/>
      <c r="N24" s="219"/>
      <c r="O24" s="220"/>
      <c r="P24" s="221"/>
    </row>
    <row r="25" spans="1:16" s="190" customFormat="1" ht="12.75" customHeight="1" x14ac:dyDescent="0.2">
      <c r="A25" s="222"/>
      <c r="B25" s="222"/>
      <c r="C25" s="223"/>
      <c r="D25" s="222"/>
      <c r="E25" s="222"/>
      <c r="G25" s="245"/>
      <c r="H25" s="219"/>
      <c r="I25" s="395"/>
      <c r="J25" s="395"/>
      <c r="K25" s="395"/>
      <c r="L25" s="395"/>
      <c r="M25" s="395"/>
      <c r="N25" s="219"/>
      <c r="O25" s="220"/>
      <c r="P25" s="221"/>
    </row>
    <row r="26" spans="1:16" s="190" customFormat="1" ht="12.75" customHeight="1" x14ac:dyDescent="0.2">
      <c r="A26" s="186" t="s">
        <v>67</v>
      </c>
      <c r="B26" s="187"/>
      <c r="C26" s="188"/>
      <c r="D26" s="187"/>
      <c r="E26" s="189"/>
      <c r="G26" s="245"/>
      <c r="H26" s="219"/>
      <c r="I26" s="395"/>
      <c r="J26" s="395"/>
      <c r="K26" s="395"/>
      <c r="L26" s="395"/>
      <c r="M26" s="395"/>
      <c r="N26" s="219"/>
      <c r="O26" s="220"/>
      <c r="P26" s="221"/>
    </row>
    <row r="27" spans="1:16" s="190" customFormat="1" ht="15" customHeight="1" x14ac:dyDescent="0.2">
      <c r="A27" s="224" t="e">
        <f>A16</f>
        <v>#REF!</v>
      </c>
      <c r="B27" s="202">
        <v>21</v>
      </c>
      <c r="C27" s="195" t="s">
        <v>83</v>
      </c>
      <c r="D27" s="202">
        <v>4</v>
      </c>
      <c r="E27" s="225" t="e">
        <f>E17</f>
        <v>#REF!</v>
      </c>
      <c r="G27" s="246"/>
      <c r="H27" s="226"/>
      <c r="I27" s="395"/>
      <c r="J27" s="395"/>
      <c r="K27" s="395"/>
      <c r="L27" s="395"/>
      <c r="M27" s="395"/>
      <c r="N27" s="226"/>
      <c r="O27" s="226"/>
      <c r="P27" s="226"/>
    </row>
    <row r="28" spans="1:16" s="190" customFormat="1" ht="15" customHeight="1" x14ac:dyDescent="0.2">
      <c r="A28" s="227" t="e">
        <f>E5</f>
        <v>#REF!</v>
      </c>
      <c r="B28" s="228">
        <v>6</v>
      </c>
      <c r="C28" s="199" t="s">
        <v>83</v>
      </c>
      <c r="D28" s="228">
        <v>1</v>
      </c>
      <c r="E28" s="229" t="e">
        <f>E16</f>
        <v>#REF!</v>
      </c>
      <c r="G28" s="192"/>
      <c r="H28" s="192"/>
      <c r="I28" s="395"/>
      <c r="J28" s="395"/>
      <c r="K28" s="395"/>
      <c r="L28" s="395"/>
      <c r="M28" s="395"/>
      <c r="N28" s="192"/>
      <c r="O28" s="192"/>
      <c r="P28" s="192"/>
    </row>
    <row r="29" spans="1:16" s="235" customFormat="1" ht="12.75" customHeight="1" x14ac:dyDescent="0.15">
      <c r="A29" s="230"/>
      <c r="B29" s="231"/>
      <c r="C29" s="232"/>
      <c r="D29" s="233"/>
      <c r="E29" s="234"/>
      <c r="G29" s="237"/>
      <c r="H29" s="237"/>
      <c r="I29" s="395"/>
      <c r="J29" s="395"/>
      <c r="K29" s="395"/>
      <c r="L29" s="395"/>
      <c r="M29" s="395"/>
      <c r="N29" s="237"/>
      <c r="O29" s="237"/>
      <c r="P29" s="237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E5:E6 A16:A17 E16:E17">
    <cfRule type="cellIs" dxfId="1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tabColor indexed="14"/>
    <pageSetUpPr fitToPage="1"/>
  </sheetPr>
  <dimension ref="A1:P29"/>
  <sheetViews>
    <sheetView view="pageBreakPreview" zoomScale="50" zoomScaleSheetLayoutView="50" workbookViewId="0">
      <selection activeCell="F33" sqref="F33"/>
    </sheetView>
  </sheetViews>
  <sheetFormatPr defaultColWidth="9.140625" defaultRowHeight="18" x14ac:dyDescent="0.25"/>
  <cols>
    <col min="1" max="1" width="23" style="178" customWidth="1"/>
    <col min="2" max="2" width="4.7109375" style="179" customWidth="1"/>
    <col min="3" max="3" width="2.85546875" style="180" customWidth="1"/>
    <col min="4" max="4" width="4.7109375" style="181" customWidth="1"/>
    <col min="5" max="5" width="21.28515625" style="178" customWidth="1"/>
    <col min="6" max="6" width="2.5703125" style="178" customWidth="1"/>
    <col min="7" max="7" width="4.42578125" style="178" customWidth="1"/>
    <col min="8" max="8" width="19.5703125" style="178" customWidth="1"/>
    <col min="9" max="15" width="4.7109375" style="178" customWidth="1"/>
    <col min="16" max="16" width="4.140625" style="178" customWidth="1"/>
    <col min="17" max="26" width="0" style="178" hidden="1" customWidth="1"/>
    <col min="27" max="16384" width="9.140625" style="178"/>
  </cols>
  <sheetData>
    <row r="1" spans="1:16" ht="59.25" customHeight="1" x14ac:dyDescent="0.35">
      <c r="A1" s="396" t="s">
        <v>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30" x14ac:dyDescent="0.4">
      <c r="A2" s="397" t="s">
        <v>88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9.75" customHeight="1" x14ac:dyDescent="0.4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235" customFormat="1" ht="12.75" customHeight="1" x14ac:dyDescent="0.15">
      <c r="A4" s="186" t="s">
        <v>64</v>
      </c>
      <c r="B4" s="187"/>
      <c r="C4" s="188"/>
      <c r="D4" s="187"/>
      <c r="E4" s="189"/>
      <c r="F4" s="190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235" customFormat="1" ht="15" customHeight="1" x14ac:dyDescent="0.15">
      <c r="A5" s="193" t="e">
        <f>#REF!</f>
        <v>#REF!</v>
      </c>
      <c r="B5" s="194">
        <v>4</v>
      </c>
      <c r="C5" s="195" t="s">
        <v>83</v>
      </c>
      <c r="D5" s="194">
        <v>5</v>
      </c>
      <c r="E5" s="196" t="e">
        <f>#REF!</f>
        <v>#REF!</v>
      </c>
      <c r="F5" s="190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s="235" customFormat="1" ht="15" customHeight="1" x14ac:dyDescent="0.15">
      <c r="A6" s="197" t="e">
        <f>#REF!</f>
        <v>#REF!</v>
      </c>
      <c r="B6" s="198">
        <v>3</v>
      </c>
      <c r="C6" s="199" t="s">
        <v>83</v>
      </c>
      <c r="D6" s="198">
        <v>10</v>
      </c>
      <c r="E6" s="200" t="e">
        <f>#REF!</f>
        <v>#REF!</v>
      </c>
      <c r="F6" s="190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s="235" customFormat="1" ht="12.75" customHeight="1" x14ac:dyDescent="0.15">
      <c r="A7" s="201"/>
      <c r="B7" s="202"/>
      <c r="C7" s="203"/>
      <c r="D7" s="202"/>
      <c r="E7" s="201"/>
      <c r="F7" s="190"/>
      <c r="G7" s="240"/>
      <c r="H7" s="205"/>
      <c r="I7" s="398" t="s">
        <v>36</v>
      </c>
      <c r="J7" s="398" t="s">
        <v>11</v>
      </c>
      <c r="K7" s="398" t="s">
        <v>12</v>
      </c>
      <c r="L7" s="398" t="s">
        <v>13</v>
      </c>
      <c r="M7" s="398" t="s">
        <v>1</v>
      </c>
      <c r="N7" s="398" t="s">
        <v>14</v>
      </c>
      <c r="O7" s="398" t="s">
        <v>10</v>
      </c>
      <c r="P7" s="399" t="s">
        <v>84</v>
      </c>
    </row>
    <row r="8" spans="1:16" s="235" customFormat="1" ht="15" customHeight="1" x14ac:dyDescent="0.15">
      <c r="A8" s="201"/>
      <c r="B8" s="202"/>
      <c r="C8" s="203"/>
      <c r="D8" s="202"/>
      <c r="E8" s="201"/>
      <c r="F8" s="190"/>
      <c r="G8" s="241"/>
      <c r="H8" s="207"/>
      <c r="I8" s="398"/>
      <c r="J8" s="398"/>
      <c r="K8" s="398"/>
      <c r="L8" s="398"/>
      <c r="M8" s="398"/>
      <c r="N8" s="398"/>
      <c r="O8" s="398"/>
      <c r="P8" s="399"/>
    </row>
    <row r="9" spans="1:16" s="235" customFormat="1" ht="15" customHeight="1" x14ac:dyDescent="0.15">
      <c r="A9" s="201"/>
      <c r="B9" s="202"/>
      <c r="C9" s="203"/>
      <c r="D9" s="202"/>
      <c r="E9" s="201"/>
      <c r="F9" s="190"/>
      <c r="G9" s="208">
        <v>1</v>
      </c>
      <c r="H9" s="209" t="str">
        <f>VLOOKUP($G9,F!$L$2:$U$19,3,FALSE)</f>
        <v>TİCARET MES. LİSESİ</v>
      </c>
      <c r="I9" s="210">
        <f>VLOOKUP($G9,F!$L$2:$U$19,4,FALSE)</f>
        <v>0</v>
      </c>
      <c r="J9" s="210">
        <f>VLOOKUP($G9,F!$L$2:$U$19,5,FALSE)</f>
        <v>0</v>
      </c>
      <c r="K9" s="210">
        <f>VLOOKUP($G9,F!$L$2:$U$19,6,FALSE)</f>
        <v>0</v>
      </c>
      <c r="L9" s="210">
        <f>VLOOKUP($G9,F!$L$2:$U$19,7,FALSE)</f>
        <v>0</v>
      </c>
      <c r="M9" s="210">
        <f>VLOOKUP($G9,F!$L$2:$U$19,8,FALSE)</f>
        <v>0</v>
      </c>
      <c r="N9" s="210">
        <f>VLOOKUP($G9,F!$L$2:$U$19,9,FALSE)</f>
        <v>0</v>
      </c>
      <c r="O9" s="211">
        <f>VLOOKUP($G9,F!$L$2:$U$19,10,FALSE)</f>
        <v>0</v>
      </c>
      <c r="P9" s="212">
        <f>+M9-N9</f>
        <v>0</v>
      </c>
    </row>
    <row r="10" spans="1:16" s="235" customFormat="1" ht="15" customHeight="1" x14ac:dyDescent="0.15">
      <c r="A10" s="201"/>
      <c r="B10" s="202"/>
      <c r="C10" s="203"/>
      <c r="D10" s="202"/>
      <c r="E10" s="201"/>
      <c r="F10" s="190"/>
      <c r="G10" s="208">
        <v>2</v>
      </c>
      <c r="H10" s="209" t="str">
        <f>VLOOKUP($G10,F!$L$2:$U$19,3,FALSE)</f>
        <v>İBNİ SİNA İÖO</v>
      </c>
      <c r="I10" s="210">
        <f>VLOOKUP($G10,F!$L$2:$U$19,4,FALSE)</f>
        <v>0</v>
      </c>
      <c r="J10" s="210">
        <f>VLOOKUP($G10,F!$L$2:$U$19,5,FALSE)</f>
        <v>0</v>
      </c>
      <c r="K10" s="210">
        <f>VLOOKUP($G10,F!$L$2:$U$19,6,FALSE)</f>
        <v>0</v>
      </c>
      <c r="L10" s="210">
        <f>VLOOKUP($G10,F!$L$2:$U$19,7,FALSE)</f>
        <v>0</v>
      </c>
      <c r="M10" s="210">
        <f>VLOOKUP($G10,F!$L$2:$U$19,8,FALSE)</f>
        <v>0</v>
      </c>
      <c r="N10" s="210">
        <f>VLOOKUP($G10,F!$L$2:$U$19,9,FALSE)</f>
        <v>0</v>
      </c>
      <c r="O10" s="211">
        <f>VLOOKUP($G10,F!$L$2:$U$19,10,FALSE)</f>
        <v>0</v>
      </c>
      <c r="P10" s="212">
        <f>+M10-N10</f>
        <v>0</v>
      </c>
    </row>
    <row r="11" spans="1:16" s="235" customFormat="1" ht="15" customHeight="1" x14ac:dyDescent="0.15">
      <c r="A11" s="201"/>
      <c r="B11" s="202"/>
      <c r="C11" s="203"/>
      <c r="D11" s="202"/>
      <c r="E11" s="201"/>
      <c r="F11" s="190"/>
      <c r="G11" s="208">
        <v>3</v>
      </c>
      <c r="H11" s="209" t="str">
        <f>VLOOKUP($G11,F!$L$2:$U$19,3,FALSE)</f>
        <v>AKBELEN İÖO</v>
      </c>
      <c r="I11" s="210">
        <f>VLOOKUP($G11,F!$L$2:$U$19,4,FALSE)</f>
        <v>0</v>
      </c>
      <c r="J11" s="210">
        <f>VLOOKUP($G11,F!$L$2:$U$19,5,FALSE)</f>
        <v>0</v>
      </c>
      <c r="K11" s="210">
        <f>VLOOKUP($G11,F!$L$2:$U$19,6,FALSE)</f>
        <v>0</v>
      </c>
      <c r="L11" s="210">
        <f>VLOOKUP($G11,F!$L$2:$U$19,7,FALSE)</f>
        <v>0</v>
      </c>
      <c r="M11" s="210">
        <f>VLOOKUP($G11,F!$L$2:$U$19,8,FALSE)</f>
        <v>0</v>
      </c>
      <c r="N11" s="210">
        <f>VLOOKUP($G11,F!$L$2:$U$19,9,FALSE)</f>
        <v>0</v>
      </c>
      <c r="O11" s="211">
        <f>VLOOKUP($G11,F!$L$2:$U$19,10,FALSE)</f>
        <v>0</v>
      </c>
      <c r="P11" s="212">
        <f>+M11-N11</f>
        <v>0</v>
      </c>
    </row>
    <row r="12" spans="1:16" s="235" customFormat="1" ht="15" customHeight="1" x14ac:dyDescent="0.15">
      <c r="A12" s="201"/>
      <c r="B12" s="202"/>
      <c r="C12" s="203"/>
      <c r="D12" s="202"/>
      <c r="E12" s="201"/>
      <c r="F12" s="190"/>
      <c r="G12" s="213">
        <v>4</v>
      </c>
      <c r="H12" s="214" t="str">
        <f>VLOOKUP($G12,F!$L$2:$U$19,3,FALSE)</f>
        <v>İ.H.LİSESİ</v>
      </c>
      <c r="I12" s="215">
        <f>VLOOKUP($G12,F!$L$2:$U$19,4,FALSE)</f>
        <v>0</v>
      </c>
      <c r="J12" s="215">
        <f>VLOOKUP($G12,F!$L$2:$U$19,5,FALSE)</f>
        <v>0</v>
      </c>
      <c r="K12" s="215">
        <f>VLOOKUP($G12,F!$L$2:$U$19,6,FALSE)</f>
        <v>0</v>
      </c>
      <c r="L12" s="215">
        <f>VLOOKUP($G12,F!$L$2:$U$19,7,FALSE)</f>
        <v>0</v>
      </c>
      <c r="M12" s="215">
        <f>VLOOKUP($G12,F!$L$2:$U$19,8,FALSE)</f>
        <v>0</v>
      </c>
      <c r="N12" s="215">
        <f>VLOOKUP($G12,F!$L$2:$U$19,9,FALSE)</f>
        <v>0</v>
      </c>
      <c r="O12" s="216">
        <f>VLOOKUP($G12,F!$L$2:$U$19,10,FALSE)</f>
        <v>0</v>
      </c>
      <c r="P12" s="217">
        <f>+M12-N12</f>
        <v>0</v>
      </c>
    </row>
    <row r="13" spans="1:16" s="235" customFormat="1" ht="19.5" hidden="1" customHeight="1" x14ac:dyDescent="0.15">
      <c r="A13" s="201"/>
      <c r="B13" s="202"/>
      <c r="C13" s="203"/>
      <c r="D13" s="202"/>
      <c r="E13" s="201"/>
      <c r="F13" s="190"/>
      <c r="G13" s="245"/>
      <c r="H13" s="219"/>
      <c r="I13" s="219"/>
      <c r="J13" s="219"/>
      <c r="K13" s="219"/>
      <c r="L13" s="219"/>
      <c r="M13" s="219"/>
      <c r="N13" s="219"/>
      <c r="O13" s="220"/>
      <c r="P13" s="221"/>
    </row>
    <row r="14" spans="1:16" s="235" customFormat="1" ht="12.75" customHeight="1" x14ac:dyDescent="0.15">
      <c r="A14" s="222"/>
      <c r="B14" s="222"/>
      <c r="C14" s="223"/>
      <c r="D14" s="222"/>
      <c r="E14" s="222"/>
      <c r="F14" s="190"/>
      <c r="G14" s="245"/>
      <c r="H14" s="219"/>
      <c r="I14" s="219"/>
      <c r="J14" s="219"/>
      <c r="K14" s="219"/>
      <c r="L14" s="219"/>
      <c r="M14" s="219"/>
      <c r="N14" s="219"/>
      <c r="O14" s="220"/>
      <c r="P14" s="221"/>
    </row>
    <row r="15" spans="1:16" s="235" customFormat="1" ht="12.75" customHeight="1" x14ac:dyDescent="0.15">
      <c r="A15" s="186" t="s">
        <v>66</v>
      </c>
      <c r="B15" s="187"/>
      <c r="C15" s="188"/>
      <c r="D15" s="187"/>
      <c r="E15" s="189"/>
      <c r="F15" s="190"/>
      <c r="G15" s="245"/>
      <c r="H15" s="219"/>
      <c r="I15" s="219"/>
      <c r="J15" s="219"/>
      <c r="K15" s="219"/>
      <c r="L15" s="219"/>
      <c r="M15" s="219"/>
      <c r="N15" s="219"/>
      <c r="O15" s="220"/>
      <c r="P15" s="221"/>
    </row>
    <row r="16" spans="1:16" s="235" customFormat="1" ht="15" customHeight="1" x14ac:dyDescent="0.15">
      <c r="A16" s="193" t="e">
        <f>A5</f>
        <v>#REF!</v>
      </c>
      <c r="B16" s="194">
        <v>1</v>
      </c>
      <c r="C16" s="195" t="s">
        <v>83</v>
      </c>
      <c r="D16" s="194">
        <v>12</v>
      </c>
      <c r="E16" s="196" t="e">
        <f>A6</f>
        <v>#REF!</v>
      </c>
      <c r="F16" s="190"/>
      <c r="G16" s="245"/>
      <c r="H16" s="219"/>
      <c r="I16" s="219"/>
      <c r="J16" s="219"/>
      <c r="K16" s="219"/>
      <c r="L16" s="219"/>
      <c r="M16" s="219"/>
      <c r="N16" s="219"/>
      <c r="O16" s="220"/>
      <c r="P16" s="221"/>
    </row>
    <row r="17" spans="1:16" s="235" customFormat="1" ht="15" customHeight="1" x14ac:dyDescent="0.2">
      <c r="A17" s="197" t="e">
        <f>E5</f>
        <v>#REF!</v>
      </c>
      <c r="B17" s="198">
        <v>4</v>
      </c>
      <c r="C17" s="199" t="s">
        <v>83</v>
      </c>
      <c r="D17" s="198">
        <v>10</v>
      </c>
      <c r="E17" s="200" t="e">
        <f>E6</f>
        <v>#REF!</v>
      </c>
      <c r="F17" s="190"/>
      <c r="G17" s="245"/>
      <c r="H17" s="219"/>
      <c r="I17" s="394" t="s">
        <v>0</v>
      </c>
      <c r="J17" s="394"/>
      <c r="K17" s="394"/>
      <c r="L17" s="394"/>
      <c r="M17" s="394"/>
      <c r="N17" s="219"/>
      <c r="O17" s="220"/>
      <c r="P17" s="221"/>
    </row>
    <row r="18" spans="1:16" s="235" customFormat="1" ht="12.75" hidden="1" customHeight="1" x14ac:dyDescent="0.15">
      <c r="A18" s="201"/>
      <c r="B18" s="202"/>
      <c r="C18" s="203"/>
      <c r="D18" s="202"/>
      <c r="E18" s="201"/>
      <c r="F18" s="190"/>
      <c r="G18" s="245"/>
      <c r="H18" s="219"/>
      <c r="I18" s="395" t="s">
        <v>42</v>
      </c>
      <c r="J18" s="395"/>
      <c r="K18" s="395"/>
      <c r="L18" s="395"/>
      <c r="M18" s="395"/>
      <c r="N18" s="219"/>
      <c r="O18" s="220"/>
      <c r="P18" s="221"/>
    </row>
    <row r="19" spans="1:16" s="235" customFormat="1" ht="12.75" hidden="1" customHeight="1" x14ac:dyDescent="0.15">
      <c r="A19" s="201"/>
      <c r="B19" s="202"/>
      <c r="C19" s="203"/>
      <c r="D19" s="202"/>
      <c r="E19" s="201"/>
      <c r="F19" s="190"/>
      <c r="G19" s="245"/>
      <c r="H19" s="219"/>
      <c r="I19" s="395"/>
      <c r="J19" s="395"/>
      <c r="K19" s="395"/>
      <c r="L19" s="395"/>
      <c r="M19" s="395"/>
      <c r="N19" s="219"/>
      <c r="O19" s="220"/>
      <c r="P19" s="221"/>
    </row>
    <row r="20" spans="1:16" s="235" customFormat="1" ht="13.5" hidden="1" customHeight="1" x14ac:dyDescent="0.15">
      <c r="A20" s="201"/>
      <c r="B20" s="202"/>
      <c r="C20" s="203"/>
      <c r="D20" s="202"/>
      <c r="E20" s="201"/>
      <c r="F20" s="190"/>
      <c r="G20" s="245"/>
      <c r="H20" s="219"/>
      <c r="I20" s="395"/>
      <c r="J20" s="395"/>
      <c r="K20" s="395"/>
      <c r="L20" s="395"/>
      <c r="M20" s="395"/>
      <c r="N20" s="219"/>
      <c r="O20" s="220"/>
      <c r="P20" s="221"/>
    </row>
    <row r="21" spans="1:16" s="235" customFormat="1" ht="12.75" hidden="1" customHeight="1" x14ac:dyDescent="0.15">
      <c r="A21" s="201"/>
      <c r="B21" s="202"/>
      <c r="C21" s="203"/>
      <c r="D21" s="202"/>
      <c r="E21" s="201"/>
      <c r="F21" s="190"/>
      <c r="G21" s="245"/>
      <c r="H21" s="219"/>
      <c r="I21" s="395"/>
      <c r="J21" s="395"/>
      <c r="K21" s="395"/>
      <c r="L21" s="395"/>
      <c r="M21" s="395"/>
      <c r="N21" s="219"/>
      <c r="O21" s="220"/>
      <c r="P21" s="221"/>
    </row>
    <row r="22" spans="1:16" s="235" customFormat="1" ht="12.75" hidden="1" customHeight="1" x14ac:dyDescent="0.15">
      <c r="A22" s="201"/>
      <c r="B22" s="202"/>
      <c r="C22" s="203"/>
      <c r="D22" s="202"/>
      <c r="E22" s="201"/>
      <c r="F22" s="190"/>
      <c r="G22" s="245"/>
      <c r="H22" s="219"/>
      <c r="I22" s="395"/>
      <c r="J22" s="395"/>
      <c r="K22" s="395"/>
      <c r="L22" s="395"/>
      <c r="M22" s="395"/>
      <c r="N22" s="219"/>
      <c r="O22" s="220"/>
      <c r="P22" s="221"/>
    </row>
    <row r="23" spans="1:16" s="235" customFormat="1" ht="12.75" hidden="1" customHeight="1" x14ac:dyDescent="0.15">
      <c r="A23" s="201"/>
      <c r="B23" s="202"/>
      <c r="C23" s="203"/>
      <c r="D23" s="202"/>
      <c r="E23" s="201"/>
      <c r="F23" s="190"/>
      <c r="G23" s="245"/>
      <c r="H23" s="219"/>
      <c r="I23" s="395"/>
      <c r="J23" s="395"/>
      <c r="K23" s="395"/>
      <c r="L23" s="395"/>
      <c r="M23" s="395"/>
      <c r="N23" s="219"/>
      <c r="O23" s="220"/>
      <c r="P23" s="221"/>
    </row>
    <row r="24" spans="1:16" s="235" customFormat="1" ht="12.75" hidden="1" customHeight="1" x14ac:dyDescent="0.15">
      <c r="A24" s="201"/>
      <c r="B24" s="202"/>
      <c r="C24" s="203"/>
      <c r="D24" s="202"/>
      <c r="E24" s="201"/>
      <c r="F24" s="190"/>
      <c r="G24" s="245"/>
      <c r="H24" s="219"/>
      <c r="I24" s="395"/>
      <c r="J24" s="395"/>
      <c r="K24" s="395"/>
      <c r="L24" s="395"/>
      <c r="M24" s="395"/>
      <c r="N24" s="219"/>
      <c r="O24" s="220"/>
      <c r="P24" s="221"/>
    </row>
    <row r="25" spans="1:16" s="235" customFormat="1" ht="12.75" customHeight="1" x14ac:dyDescent="0.15">
      <c r="A25" s="222"/>
      <c r="B25" s="222"/>
      <c r="C25" s="223"/>
      <c r="D25" s="222"/>
      <c r="E25" s="222"/>
      <c r="F25" s="190"/>
      <c r="G25" s="245"/>
      <c r="H25" s="219"/>
      <c r="I25" s="395"/>
      <c r="J25" s="395"/>
      <c r="K25" s="395"/>
      <c r="L25" s="395"/>
      <c r="M25" s="395"/>
      <c r="N25" s="219"/>
      <c r="O25" s="220"/>
      <c r="P25" s="221"/>
    </row>
    <row r="26" spans="1:16" s="235" customFormat="1" ht="12.75" customHeight="1" x14ac:dyDescent="0.15">
      <c r="A26" s="186" t="s">
        <v>67</v>
      </c>
      <c r="B26" s="187"/>
      <c r="C26" s="188"/>
      <c r="D26" s="187"/>
      <c r="E26" s="189"/>
      <c r="F26" s="190"/>
      <c r="G26" s="245"/>
      <c r="H26" s="219"/>
      <c r="I26" s="395"/>
      <c r="J26" s="395"/>
      <c r="K26" s="395"/>
      <c r="L26" s="395"/>
      <c r="M26" s="395"/>
      <c r="N26" s="219"/>
      <c r="O26" s="220"/>
      <c r="P26" s="221"/>
    </row>
    <row r="27" spans="1:16" s="235" customFormat="1" ht="15" customHeight="1" x14ac:dyDescent="0.15">
      <c r="A27" s="224" t="e">
        <f>A16</f>
        <v>#REF!</v>
      </c>
      <c r="B27" s="202">
        <v>2</v>
      </c>
      <c r="C27" s="195" t="s">
        <v>83</v>
      </c>
      <c r="D27" s="202">
        <v>15</v>
      </c>
      <c r="E27" s="225" t="e">
        <f>E17</f>
        <v>#REF!</v>
      </c>
      <c r="F27" s="190"/>
      <c r="G27" s="246"/>
      <c r="H27" s="226"/>
      <c r="I27" s="395"/>
      <c r="J27" s="395"/>
      <c r="K27" s="395"/>
      <c r="L27" s="395"/>
      <c r="M27" s="395"/>
      <c r="N27" s="226"/>
      <c r="O27" s="226"/>
      <c r="P27" s="226"/>
    </row>
    <row r="28" spans="1:16" s="235" customFormat="1" ht="15" customHeight="1" x14ac:dyDescent="0.15">
      <c r="A28" s="227" t="e">
        <f>E5</f>
        <v>#REF!</v>
      </c>
      <c r="B28" s="228">
        <v>2</v>
      </c>
      <c r="C28" s="199" t="s">
        <v>83</v>
      </c>
      <c r="D28" s="228">
        <v>8</v>
      </c>
      <c r="E28" s="229" t="e">
        <f>E16</f>
        <v>#REF!</v>
      </c>
      <c r="F28" s="190"/>
      <c r="G28" s="192"/>
      <c r="H28" s="192"/>
      <c r="I28" s="395"/>
      <c r="J28" s="395"/>
      <c r="K28" s="395"/>
      <c r="L28" s="395"/>
      <c r="M28" s="395"/>
      <c r="N28" s="192"/>
      <c r="O28" s="192"/>
      <c r="P28" s="192"/>
    </row>
    <row r="29" spans="1:16" s="235" customFormat="1" ht="12.75" customHeight="1" x14ac:dyDescent="0.15">
      <c r="A29" s="230"/>
      <c r="B29" s="231"/>
      <c r="C29" s="232"/>
      <c r="D29" s="233"/>
      <c r="E29" s="234"/>
      <c r="G29" s="237"/>
      <c r="H29" s="237"/>
      <c r="I29" s="395"/>
      <c r="J29" s="395"/>
      <c r="K29" s="395"/>
      <c r="L29" s="395"/>
      <c r="M29" s="395"/>
      <c r="N29" s="237"/>
      <c r="O29" s="237"/>
      <c r="P29" s="237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E5:E6 A16:A17 E16:E17">
    <cfRule type="cellIs" dxfId="0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9</vt:i4>
      </vt:variant>
    </vt:vector>
  </HeadingPairs>
  <TitlesOfParts>
    <vt:vector size="27" baseType="lpstr">
      <vt:lpstr>grupg</vt:lpstr>
      <vt:lpstr>FİKSTÜR</vt:lpstr>
      <vt:lpstr>FINAL</vt:lpstr>
      <vt:lpstr>FIXTUR</vt:lpstr>
      <vt:lpstr>GRUPB</vt:lpstr>
      <vt:lpstr>GRUPC</vt:lpstr>
      <vt:lpstr>GRUPD</vt:lpstr>
      <vt:lpstr>GRUPE</vt:lpstr>
      <vt:lpstr>GRUPF</vt:lpstr>
      <vt:lpstr>KURA</vt:lpstr>
      <vt:lpstr>SPONSOR</vt:lpstr>
      <vt:lpstr>KATILIM PAYI</vt:lpstr>
      <vt:lpstr>A</vt:lpstr>
      <vt:lpstr>B</vt:lpstr>
      <vt:lpstr>C</vt:lpstr>
      <vt:lpstr>D</vt:lpstr>
      <vt:lpstr>E</vt:lpstr>
      <vt:lpstr>F</vt:lpstr>
      <vt:lpstr>GA</vt:lpstr>
      <vt:lpstr>GAX</vt:lpstr>
      <vt:lpstr>FIXTUR!Yazdırma_Alanı</vt:lpstr>
      <vt:lpstr>FİKSTÜR!Yazdırma_Alanı</vt:lpstr>
      <vt:lpstr>GRUPB!Yazdırma_Alanı</vt:lpstr>
      <vt:lpstr>GRUPC!Yazdırma_Alanı</vt:lpstr>
      <vt:lpstr>GRUPD!Yazdırma_Alanı</vt:lpstr>
      <vt:lpstr>GRUPE!Yazdırma_Alanı</vt:lpstr>
      <vt:lpstr>GRUPF!Yazdırma_Alanı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HuseyinCELIK</cp:lastModifiedBy>
  <cp:lastPrinted>2015-04-15T13:28:39Z</cp:lastPrinted>
  <dcterms:created xsi:type="dcterms:W3CDTF">2015-04-11T12:58:36Z</dcterms:created>
  <dcterms:modified xsi:type="dcterms:W3CDTF">2023-10-17T06:41:10Z</dcterms:modified>
</cp:coreProperties>
</file>